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rbyct-my.sharepoint.com/personal/calbarella_derbyct_gov/Documents/Desktop/WPCA/2024 WPCA Meetings/WPCA Nov 20 Meeting/"/>
    </mc:Choice>
  </mc:AlternateContent>
  <xr:revisionPtr revIDLastSave="0" documentId="8_{1FD5CAEA-FC2F-4322-A041-A0749457A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" r:id="rId1"/>
    <sheet name="Wages 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D85" i="1"/>
  <c r="I94" i="1"/>
  <c r="I25" i="1"/>
  <c r="I85" i="1"/>
  <c r="I90" i="1"/>
  <c r="J90" i="1"/>
  <c r="H90" i="1"/>
  <c r="D90" i="1"/>
  <c r="E90" i="1"/>
  <c r="C90" i="1"/>
  <c r="I30" i="1"/>
  <c r="J30" i="1"/>
  <c r="H30" i="1"/>
  <c r="D30" i="1"/>
  <c r="E30" i="1"/>
  <c r="C30" i="1"/>
  <c r="J91" i="1"/>
  <c r="J85" i="1"/>
  <c r="J18" i="1"/>
  <c r="J5" i="1"/>
  <c r="I96" i="1" l="1"/>
  <c r="I87" i="1"/>
  <c r="I27" i="1"/>
  <c r="E99" i="1"/>
  <c r="E7" i="1"/>
  <c r="E13" i="1" l="1"/>
  <c r="E5" i="1"/>
  <c r="E22" i="1"/>
  <c r="E93" i="1"/>
  <c r="E9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31" i="1"/>
  <c r="E24" i="1"/>
  <c r="E6" i="1"/>
  <c r="E9" i="1"/>
  <c r="E12" i="1"/>
  <c r="E15" i="1"/>
  <c r="E16" i="1"/>
  <c r="E18" i="1"/>
  <c r="E23" i="1"/>
  <c r="E11" i="1"/>
  <c r="E8" i="1"/>
  <c r="J94" i="1"/>
  <c r="C94" i="1"/>
  <c r="C19" i="1"/>
  <c r="J25" i="1"/>
  <c r="C25" i="1"/>
  <c r="H5" i="1"/>
  <c r="E10" i="1" l="1"/>
  <c r="D19" i="1"/>
  <c r="C27" i="1"/>
  <c r="C96" i="1"/>
  <c r="J96" i="1"/>
  <c r="F24" i="1"/>
  <c r="F12" i="1"/>
  <c r="F23" i="1"/>
  <c r="F11" i="1"/>
  <c r="F10" i="1"/>
  <c r="H71" i="1"/>
  <c r="H70" i="1"/>
  <c r="H67" i="1"/>
  <c r="H66" i="1"/>
  <c r="H62" i="1"/>
  <c r="H61" i="1"/>
  <c r="H60" i="1"/>
  <c r="H9" i="1"/>
  <c r="H8" i="1"/>
  <c r="H23" i="1"/>
  <c r="H24" i="1"/>
  <c r="H22" i="1"/>
  <c r="H11" i="1"/>
  <c r="H12" i="1"/>
  <c r="H13" i="1"/>
  <c r="H10" i="1"/>
  <c r="H25" i="1" l="1"/>
  <c r="F22" i="1"/>
  <c r="D25" i="1"/>
  <c r="H19" i="1"/>
  <c r="D12" i="2"/>
  <c r="N12" i="2"/>
  <c r="G12" i="2"/>
  <c r="O29" i="2"/>
  <c r="E25" i="1" l="1"/>
  <c r="D27" i="1"/>
  <c r="H27" i="1"/>
  <c r="H91" i="1"/>
  <c r="H94" i="1" s="1"/>
  <c r="H96" i="1" s="1"/>
  <c r="G15" i="2" l="1"/>
  <c r="N15" i="2" s="1"/>
  <c r="G11" i="2"/>
  <c r="D11" i="2" s="1"/>
  <c r="I11" i="2" s="1"/>
  <c r="G5" i="2"/>
  <c r="D5" i="2" s="1"/>
  <c r="I5" i="2" s="1"/>
  <c r="N5" i="2" s="1"/>
  <c r="F3" i="2"/>
  <c r="F2" i="2"/>
  <c r="D2" i="2"/>
  <c r="I2" i="2" s="1"/>
  <c r="K2" i="2" s="1"/>
  <c r="L2" i="2" s="1"/>
  <c r="H33" i="1"/>
  <c r="G10" i="2"/>
  <c r="D10" i="2" s="1"/>
  <c r="I10" i="2" s="1"/>
  <c r="G9" i="2"/>
  <c r="D9" i="2" s="1"/>
  <c r="I9" i="2" s="1"/>
  <c r="G8" i="2"/>
  <c r="D8" i="2" s="1"/>
  <c r="I8" i="2" s="1"/>
  <c r="G7" i="2"/>
  <c r="D7" i="2" s="1"/>
  <c r="I7" i="2" s="1"/>
  <c r="G6" i="2"/>
  <c r="D6" i="2" s="1"/>
  <c r="I6" i="2" s="1"/>
  <c r="N6" i="2" s="1"/>
  <c r="G4" i="2"/>
  <c r="D4" i="2" s="1"/>
  <c r="D3" i="2"/>
  <c r="I3" i="2" s="1"/>
  <c r="C85" i="1"/>
  <c r="J19" i="1"/>
  <c r="J27" i="1" l="1"/>
  <c r="J87" i="1"/>
  <c r="D94" i="1"/>
  <c r="E92" i="1"/>
  <c r="C87" i="1"/>
  <c r="E85" i="1"/>
  <c r="E27" i="1"/>
  <c r="E19" i="1"/>
  <c r="D87" i="1"/>
  <c r="I4" i="2"/>
  <c r="K4" i="2" s="1"/>
  <c r="L4" i="2" s="1"/>
  <c r="K9" i="2"/>
  <c r="L9" i="2" s="1"/>
  <c r="N9" i="2"/>
  <c r="N10" i="2"/>
  <c r="K10" i="2"/>
  <c r="L10" i="2" s="1"/>
  <c r="K8" i="2"/>
  <c r="L8" i="2" s="1"/>
  <c r="N8" i="2"/>
  <c r="K5" i="2"/>
  <c r="N2" i="2"/>
  <c r="K6" i="2"/>
  <c r="L6" i="2" s="1"/>
  <c r="N11" i="2"/>
  <c r="K11" i="2"/>
  <c r="L11" i="2" s="1"/>
  <c r="N3" i="2"/>
  <c r="K3" i="2"/>
  <c r="L3" i="2" s="1"/>
  <c r="N7" i="2"/>
  <c r="K7" i="2"/>
  <c r="L7" i="2" s="1"/>
  <c r="E87" i="1" l="1"/>
  <c r="D96" i="1"/>
  <c r="E96" i="1" s="1"/>
  <c r="E94" i="1"/>
  <c r="N4" i="2"/>
  <c r="N16" i="2" s="1"/>
  <c r="H31" i="1" s="1"/>
  <c r="L5" i="2"/>
  <c r="H37" i="1" l="1"/>
  <c r="H35" i="1"/>
  <c r="H36" i="1"/>
  <c r="H85" i="1" l="1"/>
  <c r="H87" i="1" s="1"/>
</calcChain>
</file>

<file path=xl/sharedStrings.xml><?xml version="1.0" encoding="utf-8"?>
<sst xmlns="http://schemas.openxmlformats.org/spreadsheetml/2006/main" count="216" uniqueCount="203">
  <si>
    <t>Account Code</t>
  </si>
  <si>
    <t>3000</t>
  </si>
  <si>
    <t xml:space="preserve">   44902</t>
  </si>
  <si>
    <t xml:space="preserve">   44906</t>
  </si>
  <si>
    <t xml:space="preserve">   44909</t>
  </si>
  <si>
    <t xml:space="preserve">   44910</t>
  </si>
  <si>
    <t xml:space="preserve">   44911</t>
  </si>
  <si>
    <t xml:space="preserve">   44912</t>
  </si>
  <si>
    <t xml:space="preserve">   44914</t>
  </si>
  <si>
    <t xml:space="preserve">   44916</t>
  </si>
  <si>
    <t xml:space="preserve">   44917</t>
  </si>
  <si>
    <t xml:space="preserve">   44918</t>
  </si>
  <si>
    <t xml:space="preserve">   44919</t>
  </si>
  <si>
    <t xml:space="preserve">   44926</t>
  </si>
  <si>
    <t xml:space="preserve">   46101</t>
  </si>
  <si>
    <t xml:space="preserve">   51610</t>
  </si>
  <si>
    <t>Account Title</t>
  </si>
  <si>
    <t>Revenue</t>
  </si>
  <si>
    <t xml:space="preserve">   Ansonia Income</t>
  </si>
  <si>
    <t xml:space="preserve">   Orange Revenue</t>
  </si>
  <si>
    <t xml:space="preserve">   Residential Revenue</t>
  </si>
  <si>
    <t xml:space="preserve">   Commercial Revenue</t>
  </si>
  <si>
    <t xml:space="preserve">   Mixed Use Revenue</t>
  </si>
  <si>
    <t xml:space="preserve">   Capital Fee Interes/Lien Fee</t>
  </si>
  <si>
    <t xml:space="preserve">   186 Derby Ave Repair Reimbursement</t>
  </si>
  <si>
    <t xml:space="preserve">   Residential Capitol Improvement Re</t>
  </si>
  <si>
    <t xml:space="preserve">   Commercial Capital Improvement Rev</t>
  </si>
  <si>
    <t xml:space="preserve">   Mixed Use Capital Improvements Rev</t>
  </si>
  <si>
    <t xml:space="preserve">   Impact Fee - New Sewer Connections</t>
  </si>
  <si>
    <t xml:space="preserve">   Interest Earned</t>
  </si>
  <si>
    <t>Water Pollution Control</t>
  </si>
  <si>
    <t xml:space="preserve">   Regular</t>
  </si>
  <si>
    <t xml:space="preserve">   51630</t>
  </si>
  <si>
    <t xml:space="preserve">   51965</t>
  </si>
  <si>
    <t xml:space="preserve">   52200</t>
  </si>
  <si>
    <t xml:space="preserve">   52205</t>
  </si>
  <si>
    <t xml:space="preserve">   52300</t>
  </si>
  <si>
    <t xml:space="preserve">   52700</t>
  </si>
  <si>
    <t xml:space="preserve">   52906</t>
  </si>
  <si>
    <t xml:space="preserve">   52907</t>
  </si>
  <si>
    <t xml:space="preserve">   53020</t>
  </si>
  <si>
    <t xml:space="preserve">   53201</t>
  </si>
  <si>
    <t xml:space="preserve">   53202</t>
  </si>
  <si>
    <t xml:space="preserve">   53310</t>
  </si>
  <si>
    <t xml:space="preserve">   53400</t>
  </si>
  <si>
    <t xml:space="preserve">   53465</t>
  </si>
  <si>
    <t xml:space="preserve">   53480</t>
  </si>
  <si>
    <t xml:space="preserve">   53495</t>
  </si>
  <si>
    <t xml:space="preserve">   53500</t>
  </si>
  <si>
    <t xml:space="preserve">   53505</t>
  </si>
  <si>
    <t xml:space="preserve">   53515</t>
  </si>
  <si>
    <t xml:space="preserve">   54302</t>
  </si>
  <si>
    <t xml:space="preserve">   54325</t>
  </si>
  <si>
    <t xml:space="preserve">   54413</t>
  </si>
  <si>
    <t xml:space="preserve">   54925</t>
  </si>
  <si>
    <t xml:space="preserve">   Overtime</t>
  </si>
  <si>
    <t xml:space="preserve">   Clothing Allowance</t>
  </si>
  <si>
    <t xml:space="preserve">   Employer Share Social Security Contributions</t>
  </si>
  <si>
    <t xml:space="preserve">   Medicare</t>
  </si>
  <si>
    <t xml:space="preserve">   City Pension</t>
  </si>
  <si>
    <t xml:space="preserve">   Workers Compensation</t>
  </si>
  <si>
    <t xml:space="preserve">   Insurance</t>
  </si>
  <si>
    <t xml:space="preserve">   Legal Services</t>
  </si>
  <si>
    <t xml:space="preserve">   Office Instruction</t>
  </si>
  <si>
    <t xml:space="preserve">   Plant Instruction</t>
  </si>
  <si>
    <t xml:space="preserve">   Accounting/Bookkeepng</t>
  </si>
  <si>
    <t xml:space="preserve">   Engineering Services</t>
  </si>
  <si>
    <t xml:space="preserve">   Atty Sheriff Title Search</t>
  </si>
  <si>
    <t xml:space="preserve">   Waste Water Facilities Plan Misc Charge</t>
  </si>
  <si>
    <t xml:space="preserve">   Pump Station - Sanitary Sewer Design</t>
  </si>
  <si>
    <t xml:space="preserve">   Computer Service</t>
  </si>
  <si>
    <t xml:space="preserve">   Plant Computer Service</t>
  </si>
  <si>
    <t xml:space="preserve">   Payroll Expense</t>
  </si>
  <si>
    <t xml:space="preserve">   Property/Plant Maintenance</t>
  </si>
  <si>
    <t xml:space="preserve">   Vehicle Maintenance</t>
  </si>
  <si>
    <t xml:space="preserve">   Sludge Disposal</t>
  </si>
  <si>
    <t xml:space="preserve">   Pest Control</t>
  </si>
  <si>
    <t xml:space="preserve">   54930</t>
  </si>
  <si>
    <t xml:space="preserve">   54935</t>
  </si>
  <si>
    <t xml:space="preserve">   54940</t>
  </si>
  <si>
    <t xml:space="preserve">   54945</t>
  </si>
  <si>
    <t xml:space="preserve">   55001</t>
  </si>
  <si>
    <t xml:space="preserve">   55003</t>
  </si>
  <si>
    <t xml:space="preserve">   55004</t>
  </si>
  <si>
    <t xml:space="preserve">   55031</t>
  </si>
  <si>
    <t xml:space="preserve">   55300</t>
  </si>
  <si>
    <t xml:space="preserve">   55301</t>
  </si>
  <si>
    <t xml:space="preserve">   55991</t>
  </si>
  <si>
    <t xml:space="preserve">   55998</t>
  </si>
  <si>
    <t xml:space="preserve">   55999</t>
  </si>
  <si>
    <t xml:space="preserve">   56010</t>
  </si>
  <si>
    <t xml:space="preserve">   56015</t>
  </si>
  <si>
    <t xml:space="preserve">   56025</t>
  </si>
  <si>
    <t xml:space="preserve">   56050</t>
  </si>
  <si>
    <t xml:space="preserve">   56210</t>
  </si>
  <si>
    <t xml:space="preserve">   56220</t>
  </si>
  <si>
    <t xml:space="preserve">   56290</t>
  </si>
  <si>
    <t xml:space="preserve">   56908</t>
  </si>
  <si>
    <t xml:space="preserve">   56909</t>
  </si>
  <si>
    <t xml:space="preserve">   56911</t>
  </si>
  <si>
    <t xml:space="preserve">   57005</t>
  </si>
  <si>
    <t xml:space="preserve">   57314</t>
  </si>
  <si>
    <t xml:space="preserve">   58015</t>
  </si>
  <si>
    <t xml:space="preserve">   Collection System Maintenance</t>
  </si>
  <si>
    <t xml:space="preserve">   Collection System Rehabilitation</t>
  </si>
  <si>
    <t xml:space="preserve">   Road Bond Sanitary Sewer Repair</t>
  </si>
  <si>
    <t xml:space="preserve">   Pump Station Maintenance</t>
  </si>
  <si>
    <t xml:space="preserve">   Ansonia Expense</t>
  </si>
  <si>
    <t xml:space="preserve">   Griffen Hospital Expense</t>
  </si>
  <si>
    <t xml:space="preserve">   Town Clerk Expense</t>
  </si>
  <si>
    <t xml:space="preserve">   DEEP Fees</t>
  </si>
  <si>
    <t xml:space="preserve">   Telephones</t>
  </si>
  <si>
    <t xml:space="preserve">   Postage</t>
  </si>
  <si>
    <t xml:space="preserve">   Expense Refunds</t>
  </si>
  <si>
    <t xml:space="preserve">   Skid Steer Lease</t>
  </si>
  <si>
    <t xml:space="preserve">   Camera Truck Lease Purchase</t>
  </si>
  <si>
    <t xml:space="preserve">   Office Supplies</t>
  </si>
  <si>
    <t xml:space="preserve">   Business Forms</t>
  </si>
  <si>
    <t xml:space="preserve">   Plant Supplies</t>
  </si>
  <si>
    <t xml:space="preserve">   Rags Grit Grease</t>
  </si>
  <si>
    <t xml:space="preserve">   Yankee Gas</t>
  </si>
  <si>
    <t xml:space="preserve">   Electricity</t>
  </si>
  <si>
    <t xml:space="preserve">   Water Co.</t>
  </si>
  <si>
    <t xml:space="preserve">   Chemicals</t>
  </si>
  <si>
    <t xml:space="preserve">   Lab Supplies</t>
  </si>
  <si>
    <t xml:space="preserve">   Special Clothing</t>
  </si>
  <si>
    <t xml:space="preserve">   Referendum Capital Outlay</t>
  </si>
  <si>
    <t xml:space="preserve">   Truck Replacement</t>
  </si>
  <si>
    <t xml:space="preserve">   RWA &amp; Aquarion Consumption</t>
  </si>
  <si>
    <t xml:space="preserve">   58350</t>
  </si>
  <si>
    <t xml:space="preserve">   58355</t>
  </si>
  <si>
    <t xml:space="preserve">   58380</t>
  </si>
  <si>
    <t xml:space="preserve">   55081</t>
  </si>
  <si>
    <t xml:space="preserve">   Capital Reserves</t>
  </si>
  <si>
    <t xml:space="preserve">   Dep Principal</t>
  </si>
  <si>
    <t xml:space="preserve">   Phase I Plant Improvem-Constructio</t>
  </si>
  <si>
    <t xml:space="preserve">FY 23-24 Budget </t>
  </si>
  <si>
    <t>Total Expenses 8410</t>
  </si>
  <si>
    <t>Total Expenses 8411</t>
  </si>
  <si>
    <t xml:space="preserve">   Employees Health Benefits</t>
  </si>
  <si>
    <t>Position</t>
  </si>
  <si>
    <t xml:space="preserve"> Current  Annual Salary</t>
  </si>
  <si>
    <t>Current Rate/HR</t>
  </si>
  <si>
    <t>Current WK Rate</t>
  </si>
  <si>
    <t>Annual %</t>
  </si>
  <si>
    <t>Projected Salary</t>
  </si>
  <si>
    <t>Projected Rate/Hr</t>
  </si>
  <si>
    <t>Projected WK Rate</t>
  </si>
  <si>
    <t>Longevity</t>
  </si>
  <si>
    <t>Total Projected Annual Salary</t>
  </si>
  <si>
    <t>HR Rate</t>
  </si>
  <si>
    <t>Lab= Contract Payscale +0.68 per hour</t>
  </si>
  <si>
    <t>Longevity- 7 = $300, 10 = $700, 15 = $900, 20 = $1200</t>
  </si>
  <si>
    <t>Lab Rate</t>
  </si>
  <si>
    <t>New Employee Proposal</t>
  </si>
  <si>
    <t>Operator in Training (OIT)</t>
  </si>
  <si>
    <t xml:space="preserve"> Annual Stipend</t>
  </si>
  <si>
    <t xml:space="preserve">Total </t>
  </si>
  <si>
    <t>Longevity 3 years</t>
  </si>
  <si>
    <t>$.59 additional for Longevity</t>
  </si>
  <si>
    <t>Total Regular Wages</t>
  </si>
  <si>
    <t>WPCA Coordinator In Kind Services</t>
  </si>
  <si>
    <t>Annual Stipend</t>
  </si>
  <si>
    <t>WPCA Tax Collector</t>
  </si>
  <si>
    <t>Lease is done</t>
  </si>
  <si>
    <t xml:space="preserve">Superintendent </t>
  </si>
  <si>
    <t>Lab Director/Supervisor</t>
  </si>
  <si>
    <t xml:space="preserve">Shift Operator </t>
  </si>
  <si>
    <t xml:space="preserve">Lead Mechanic </t>
  </si>
  <si>
    <t xml:space="preserve">Mechanic </t>
  </si>
  <si>
    <t xml:space="preserve">Operator III </t>
  </si>
  <si>
    <t xml:space="preserve">Operator II  </t>
  </si>
  <si>
    <t xml:space="preserve">Operator I </t>
  </si>
  <si>
    <t xml:space="preserve">Operator II   </t>
  </si>
  <si>
    <t>Operator I (OIT)</t>
  </si>
  <si>
    <t>Districts 10,2,8</t>
  </si>
  <si>
    <t>Districts 13</t>
  </si>
  <si>
    <t>District 1,12</t>
  </si>
  <si>
    <t>District 3,9</t>
  </si>
  <si>
    <t>% of Budget Collected</t>
  </si>
  <si>
    <t>Capital Fees</t>
  </si>
  <si>
    <t>Total Operating Revenues</t>
  </si>
  <si>
    <t>Capital Fees less Capital Expenses</t>
  </si>
  <si>
    <t>Operating Revenues Less Operating Expenses</t>
  </si>
  <si>
    <t>Total Capital Fees (Revenue)</t>
  </si>
  <si>
    <t>Total WPCA Revenues</t>
  </si>
  <si>
    <t>Dept. 8410</t>
  </si>
  <si>
    <t>Capital Account - Dept 8411</t>
  </si>
  <si>
    <t>Variance - Fav/(Unfav)</t>
  </si>
  <si>
    <t>FY 24-25 Adopted Budget</t>
  </si>
  <si>
    <t>Interest Expense Dep</t>
  </si>
  <si>
    <t>Depreciation Expense</t>
  </si>
  <si>
    <t xml:space="preserve">   Back Taxes/Sewer Use &amp; Capital Fees (2007-22 GL Years)</t>
  </si>
  <si>
    <t>Back Taxes/Interest &amp; Lien Fees (Sewer Use &amp; Capital Fee)</t>
  </si>
  <si>
    <t xml:space="preserve">   Interest/Liens</t>
  </si>
  <si>
    <t>Other Revenue</t>
  </si>
  <si>
    <t xml:space="preserve">   44915</t>
  </si>
  <si>
    <t xml:space="preserve">   Dobek Terr Reimbursement</t>
  </si>
  <si>
    <t xml:space="preserve">   Bond Capital Debt Service (Interest and Principal)</t>
  </si>
  <si>
    <t>23-24 FY Actuals (Unaudited)</t>
  </si>
  <si>
    <t>October 31, 2024 YTD</t>
  </si>
  <si>
    <t>WPCA - October 31, 2024 YTD Update</t>
  </si>
  <si>
    <t>22-23 FY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</si>
</sst>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</numFmts>
  <fonts count="32" x14ac:knownFonts="1">
    <font>
      <sz val="8"/>
      <name val="Tahoma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 val="singleAccounting"/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4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11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4" fillId="9" borderId="25" applyNumberFormat="0" applyAlignment="0" applyProtection="0"/>
    <xf numFmtId="0" fontId="25" fillId="10" borderId="26" applyNumberFormat="0" applyAlignment="0" applyProtection="0"/>
    <xf numFmtId="0" fontId="26" fillId="10" borderId="25" applyNumberFormat="0" applyAlignment="0" applyProtection="0"/>
    <xf numFmtId="0" fontId="27" fillId="0" borderId="27" applyNumberFormat="0" applyFill="0" applyAlignment="0" applyProtection="0"/>
    <xf numFmtId="0" fontId="28" fillId="11" borderId="28" applyNumberFormat="0" applyAlignment="0" applyProtection="0"/>
    <xf numFmtId="0" fontId="8" fillId="0" borderId="30" applyNumberFormat="0" applyFill="0" applyAlignment="0" applyProtection="0"/>
    <xf numFmtId="0" fontId="1" fillId="0" borderId="11"/>
    <xf numFmtId="0" fontId="17" fillId="0" borderId="11" applyNumberFormat="0" applyFill="0" applyBorder="0" applyAlignment="0" applyProtection="0"/>
    <xf numFmtId="0" fontId="20" fillId="0" borderId="11" applyNumberFormat="0" applyFill="0" applyBorder="0" applyAlignment="0" applyProtection="0"/>
    <xf numFmtId="0" fontId="21" fillId="6" borderId="11" applyNumberFormat="0" applyBorder="0" applyAlignment="0" applyProtection="0"/>
    <xf numFmtId="0" fontId="22" fillId="7" borderId="11" applyNumberFormat="0" applyBorder="0" applyAlignment="0" applyProtection="0"/>
    <xf numFmtId="0" fontId="23" fillId="8" borderId="11" applyNumberFormat="0" applyBorder="0" applyAlignment="0" applyProtection="0"/>
    <xf numFmtId="0" fontId="29" fillId="0" borderId="11" applyNumberFormat="0" applyFill="0" applyBorder="0" applyAlignment="0" applyProtection="0"/>
    <xf numFmtId="0" fontId="1" fillId="12" borderId="29" applyNumberFormat="0" applyFont="0" applyAlignment="0" applyProtection="0"/>
    <xf numFmtId="0" fontId="30" fillId="0" borderId="11" applyNumberFormat="0" applyFill="0" applyBorder="0" applyAlignment="0" applyProtection="0"/>
    <xf numFmtId="0" fontId="31" fillId="13" borderId="11" applyNumberFormat="0" applyBorder="0" applyAlignment="0" applyProtection="0"/>
    <xf numFmtId="0" fontId="1" fillId="14" borderId="11" applyNumberFormat="0" applyBorder="0" applyAlignment="0" applyProtection="0"/>
    <xf numFmtId="0" fontId="1" fillId="15" borderId="11" applyNumberFormat="0" applyBorder="0" applyAlignment="0" applyProtection="0"/>
    <xf numFmtId="0" fontId="1" fillId="16" borderId="11" applyNumberFormat="0" applyBorder="0" applyAlignment="0" applyProtection="0"/>
    <xf numFmtId="0" fontId="31" fillId="17" borderId="11" applyNumberFormat="0" applyBorder="0" applyAlignment="0" applyProtection="0"/>
    <xf numFmtId="0" fontId="1" fillId="18" borderId="11" applyNumberFormat="0" applyBorder="0" applyAlignment="0" applyProtection="0"/>
    <xf numFmtId="0" fontId="1" fillId="19" borderId="11" applyNumberFormat="0" applyBorder="0" applyAlignment="0" applyProtection="0"/>
    <xf numFmtId="0" fontId="1" fillId="20" borderId="11" applyNumberFormat="0" applyBorder="0" applyAlignment="0" applyProtection="0"/>
    <xf numFmtId="0" fontId="31" fillId="21" borderId="11" applyNumberFormat="0" applyBorder="0" applyAlignment="0" applyProtection="0"/>
    <xf numFmtId="0" fontId="1" fillId="22" borderId="11" applyNumberFormat="0" applyBorder="0" applyAlignment="0" applyProtection="0"/>
    <xf numFmtId="0" fontId="1" fillId="23" borderId="11" applyNumberFormat="0" applyBorder="0" applyAlignment="0" applyProtection="0"/>
    <xf numFmtId="0" fontId="1" fillId="24" borderId="11" applyNumberFormat="0" applyBorder="0" applyAlignment="0" applyProtection="0"/>
    <xf numFmtId="0" fontId="31" fillId="25" borderId="11" applyNumberFormat="0" applyBorder="0" applyAlignment="0" applyProtection="0"/>
    <xf numFmtId="0" fontId="1" fillId="26" borderId="11" applyNumberFormat="0" applyBorder="0" applyAlignment="0" applyProtection="0"/>
    <xf numFmtId="0" fontId="1" fillId="27" borderId="11" applyNumberFormat="0" applyBorder="0" applyAlignment="0" applyProtection="0"/>
    <xf numFmtId="0" fontId="1" fillId="28" borderId="11" applyNumberFormat="0" applyBorder="0" applyAlignment="0" applyProtection="0"/>
    <xf numFmtId="0" fontId="31" fillId="29" borderId="11" applyNumberFormat="0" applyBorder="0" applyAlignment="0" applyProtection="0"/>
    <xf numFmtId="0" fontId="1" fillId="30" borderId="11" applyNumberFormat="0" applyBorder="0" applyAlignment="0" applyProtection="0"/>
    <xf numFmtId="0" fontId="1" fillId="31" borderId="11" applyNumberFormat="0" applyBorder="0" applyAlignment="0" applyProtection="0"/>
    <xf numFmtId="0" fontId="1" fillId="32" borderId="11" applyNumberFormat="0" applyBorder="0" applyAlignment="0" applyProtection="0"/>
    <xf numFmtId="0" fontId="31" fillId="33" borderId="11" applyNumberFormat="0" applyBorder="0" applyAlignment="0" applyProtection="0"/>
    <xf numFmtId="0" fontId="1" fillId="34" borderId="11" applyNumberFormat="0" applyBorder="0" applyAlignment="0" applyProtection="0"/>
    <xf numFmtId="0" fontId="1" fillId="35" borderId="11" applyNumberFormat="0" applyBorder="0" applyAlignment="0" applyProtection="0"/>
    <xf numFmtId="0" fontId="1" fillId="36" borderId="11" applyNumberFormat="0" applyBorder="0" applyAlignment="0" applyProtection="0"/>
  </cellStyleXfs>
  <cellXfs count="112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/>
    </xf>
    <xf numFmtId="40" fontId="4" fillId="0" borderId="4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40" fontId="0" fillId="0" borderId="8" xfId="0" applyNumberFormat="1" applyBorder="1" applyAlignment="1">
      <alignment horizontal="right" wrapText="1"/>
    </xf>
    <xf numFmtId="40" fontId="0" fillId="0" borderId="9" xfId="0" applyNumberFormat="1" applyBorder="1" applyAlignment="1">
      <alignment horizontal="right" wrapText="1"/>
    </xf>
    <xf numFmtId="40" fontId="0" fillId="0" borderId="10" xfId="0" applyNumberFormat="1" applyBorder="1" applyAlignment="1">
      <alignment horizontal="right" wrapText="1"/>
    </xf>
    <xf numFmtId="164" fontId="4" fillId="0" borderId="5" xfId="1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horizontal="left" vertical="top" wrapText="1"/>
    </xf>
    <xf numFmtId="164" fontId="4" fillId="0" borderId="11" xfId="1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vertical="top"/>
    </xf>
    <xf numFmtId="164" fontId="4" fillId="0" borderId="12" xfId="1" applyNumberFormat="1" applyFont="1" applyBorder="1" applyAlignment="1">
      <alignment horizontal="right" vertical="top" wrapText="1"/>
    </xf>
    <xf numFmtId="0" fontId="6" fillId="0" borderId="11" xfId="0" applyFont="1" applyBorder="1" applyAlignment="1">
      <alignment horizontal="left" vertical="top" wrapText="1"/>
    </xf>
    <xf numFmtId="164" fontId="6" fillId="0" borderId="11" xfId="1" applyNumberFormat="1" applyFont="1" applyBorder="1" applyAlignment="1">
      <alignment horizontal="right" vertical="top" wrapText="1"/>
    </xf>
    <xf numFmtId="40" fontId="0" fillId="0" borderId="11" xfId="0" applyNumberFormat="1" applyBorder="1" applyAlignment="1">
      <alignment horizontal="right" wrapText="1"/>
    </xf>
    <xf numFmtId="40" fontId="4" fillId="0" borderId="11" xfId="0" applyNumberFormat="1" applyFont="1" applyBorder="1" applyAlignment="1">
      <alignment horizontal="right" vertical="top" wrapText="1"/>
    </xf>
    <xf numFmtId="40" fontId="6" fillId="0" borderId="12" xfId="0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left" wrapText="1"/>
    </xf>
    <xf numFmtId="40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1" fillId="0" borderId="11" xfId="3" applyFont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2" fillId="0" borderId="11" xfId="3"/>
    <xf numFmtId="0" fontId="8" fillId="0" borderId="13" xfId="3" applyFont="1" applyBorder="1" applyAlignment="1">
      <alignment horizontal="left" vertical="top"/>
    </xf>
    <xf numFmtId="165" fontId="12" fillId="0" borderId="13" xfId="3" applyNumberFormat="1" applyFont="1" applyBorder="1" applyAlignment="1">
      <alignment horizontal="center" vertical="center"/>
    </xf>
    <xf numFmtId="165" fontId="13" fillId="0" borderId="13" xfId="3" applyNumberFormat="1" applyFont="1" applyBorder="1" applyAlignment="1">
      <alignment horizontal="center" vertical="center"/>
    </xf>
    <xf numFmtId="10" fontId="9" fillId="0" borderId="13" xfId="3" applyNumberFormat="1" applyFont="1" applyBorder="1" applyAlignment="1">
      <alignment horizontal="center" vertical="center"/>
    </xf>
    <xf numFmtId="4" fontId="11" fillId="0" borderId="13" xfId="3" applyNumberFormat="1" applyFont="1" applyBorder="1" applyAlignment="1">
      <alignment horizontal="center" vertical="center"/>
    </xf>
    <xf numFmtId="165" fontId="11" fillId="0" borderId="13" xfId="3" applyNumberFormat="1" applyFont="1" applyBorder="1" applyAlignment="1">
      <alignment horizontal="center" vertical="center"/>
    </xf>
    <xf numFmtId="165" fontId="9" fillId="0" borderId="13" xfId="3" applyNumberFormat="1" applyFont="1" applyBorder="1" applyAlignment="1">
      <alignment horizontal="center" vertical="center"/>
    </xf>
    <xf numFmtId="8" fontId="12" fillId="0" borderId="13" xfId="3" applyNumberFormat="1" applyFont="1" applyBorder="1" applyAlignment="1">
      <alignment horizontal="center" vertical="center"/>
    </xf>
    <xf numFmtId="8" fontId="12" fillId="2" borderId="13" xfId="3" applyNumberFormat="1" applyFont="1" applyFill="1" applyBorder="1" applyAlignment="1">
      <alignment horizontal="center" vertical="center"/>
    </xf>
    <xf numFmtId="165" fontId="13" fillId="2" borderId="13" xfId="3" applyNumberFormat="1" applyFont="1" applyFill="1" applyBorder="1" applyAlignment="1">
      <alignment horizontal="center" vertical="center"/>
    </xf>
    <xf numFmtId="10" fontId="9" fillId="2" borderId="13" xfId="3" applyNumberFormat="1" applyFont="1" applyFill="1" applyBorder="1" applyAlignment="1">
      <alignment horizontal="center" vertical="center"/>
    </xf>
    <xf numFmtId="165" fontId="11" fillId="2" borderId="13" xfId="3" applyNumberFormat="1" applyFont="1" applyFill="1" applyBorder="1" applyAlignment="1">
      <alignment horizontal="center" vertical="center"/>
    </xf>
    <xf numFmtId="165" fontId="9" fillId="2" borderId="13" xfId="3" applyNumberFormat="1" applyFont="1" applyFill="1" applyBorder="1" applyAlignment="1">
      <alignment horizontal="center" vertical="center"/>
    </xf>
    <xf numFmtId="0" fontId="11" fillId="2" borderId="11" xfId="3" applyFont="1" applyFill="1" applyAlignment="1">
      <alignment horizontal="center" vertical="center"/>
    </xf>
    <xf numFmtId="10" fontId="9" fillId="3" borderId="13" xfId="3" applyNumberFormat="1" applyFont="1" applyFill="1" applyBorder="1" applyAlignment="1">
      <alignment horizontal="center" vertical="center"/>
    </xf>
    <xf numFmtId="165" fontId="11" fillId="2" borderId="11" xfId="3" applyNumberFormat="1" applyFont="1" applyFill="1" applyAlignment="1">
      <alignment horizontal="center" vertical="center"/>
    </xf>
    <xf numFmtId="8" fontId="10" fillId="0" borderId="13" xfId="3" applyNumberFormat="1" applyFont="1" applyBorder="1" applyAlignment="1">
      <alignment horizontal="center" vertical="center"/>
    </xf>
    <xf numFmtId="8" fontId="10" fillId="0" borderId="13" xfId="3" applyNumberFormat="1" applyFont="1" applyBorder="1" applyAlignment="1">
      <alignment horizontal="left" vertical="top"/>
    </xf>
    <xf numFmtId="0" fontId="15" fillId="0" borderId="13" xfId="3" applyFont="1" applyBorder="1" applyAlignment="1">
      <alignment horizontal="left" vertical="top"/>
    </xf>
    <xf numFmtId="164" fontId="2" fillId="0" borderId="11" xfId="1" applyNumberFormat="1" applyFont="1" applyBorder="1"/>
    <xf numFmtId="165" fontId="2" fillId="0" borderId="11" xfId="3" applyNumberFormat="1"/>
    <xf numFmtId="165" fontId="13" fillId="4" borderId="13" xfId="3" applyNumberFormat="1" applyFont="1" applyFill="1" applyBorder="1" applyAlignment="1">
      <alignment horizontal="center" vertical="center"/>
    </xf>
    <xf numFmtId="165" fontId="13" fillId="5" borderId="13" xfId="3" applyNumberFormat="1" applyFont="1" applyFill="1" applyBorder="1" applyAlignment="1">
      <alignment horizontal="center" vertical="center"/>
    </xf>
    <xf numFmtId="0" fontId="16" fillId="0" borderId="13" xfId="3" applyFont="1" applyBorder="1" applyAlignment="1">
      <alignment horizontal="right" vertical="top"/>
    </xf>
    <xf numFmtId="165" fontId="16" fillId="0" borderId="13" xfId="3" applyNumberFormat="1" applyFont="1" applyBorder="1" applyAlignment="1">
      <alignment horizontal="center" vertical="center"/>
    </xf>
    <xf numFmtId="165" fontId="9" fillId="0" borderId="13" xfId="3" applyNumberFormat="1" applyFont="1" applyBorder="1" applyAlignment="1">
      <alignment vertical="center"/>
    </xf>
    <xf numFmtId="165" fontId="11" fillId="5" borderId="14" xfId="3" applyNumberFormat="1" applyFont="1" applyFill="1" applyBorder="1" applyAlignment="1">
      <alignment vertical="center"/>
    </xf>
    <xf numFmtId="165" fontId="11" fillId="5" borderId="15" xfId="3" applyNumberFormat="1" applyFont="1" applyFill="1" applyBorder="1" applyAlignment="1">
      <alignment vertical="center"/>
    </xf>
    <xf numFmtId="165" fontId="11" fillId="2" borderId="14" xfId="3" applyNumberFormat="1" applyFont="1" applyFill="1" applyBorder="1" applyAlignment="1">
      <alignment vertical="center"/>
    </xf>
    <xf numFmtId="165" fontId="11" fillId="2" borderId="15" xfId="3" applyNumberFormat="1" applyFont="1" applyFill="1" applyBorder="1" applyAlignment="1">
      <alignment vertical="center"/>
    </xf>
    <xf numFmtId="165" fontId="11" fillId="4" borderId="14" xfId="3" applyNumberFormat="1" applyFont="1" applyFill="1" applyBorder="1" applyAlignment="1">
      <alignment vertical="center"/>
    </xf>
    <xf numFmtId="165" fontId="11" fillId="4" borderId="15" xfId="3" applyNumberFormat="1" applyFont="1" applyFill="1" applyBorder="1" applyAlignment="1">
      <alignment vertical="center"/>
    </xf>
    <xf numFmtId="165" fontId="11" fillId="0" borderId="11" xfId="3" applyNumberFormat="1" applyFont="1" applyAlignment="1">
      <alignment horizontal="center" vertical="center"/>
    </xf>
    <xf numFmtId="165" fontId="9" fillId="0" borderId="11" xfId="3" applyNumberFormat="1" applyFont="1" applyAlignment="1">
      <alignment horizontal="center" vertical="center"/>
    </xf>
    <xf numFmtId="165" fontId="13" fillId="0" borderId="11" xfId="3" applyNumberFormat="1" applyFont="1" applyAlignment="1">
      <alignment horizontal="center" vertical="center"/>
    </xf>
    <xf numFmtId="165" fontId="11" fillId="5" borderId="11" xfId="3" applyNumberFormat="1" applyFont="1" applyFill="1" applyAlignment="1">
      <alignment vertical="center"/>
    </xf>
    <xf numFmtId="165" fontId="9" fillId="2" borderId="13" xfId="3" applyNumberFormat="1" applyFont="1" applyFill="1" applyBorder="1" applyAlignment="1">
      <alignment vertical="center"/>
    </xf>
    <xf numFmtId="164" fontId="0" fillId="0" borderId="0" xfId="0" applyNumberFormat="1"/>
    <xf numFmtId="166" fontId="9" fillId="0" borderId="13" xfId="3" applyNumberFormat="1" applyFont="1" applyBorder="1" applyAlignment="1">
      <alignment horizontal="center" vertical="center"/>
    </xf>
    <xf numFmtId="166" fontId="16" fillId="0" borderId="13" xfId="3" applyNumberFormat="1" applyFont="1" applyBorder="1" applyAlignment="1">
      <alignment horizontal="center" vertical="center"/>
    </xf>
    <xf numFmtId="165" fontId="8" fillId="0" borderId="19" xfId="3" applyNumberFormat="1" applyFont="1" applyBorder="1"/>
    <xf numFmtId="164" fontId="4" fillId="0" borderId="5" xfId="1" applyNumberFormat="1" applyFont="1" applyFill="1" applyBorder="1" applyAlignment="1">
      <alignment horizontal="right" vertical="top" wrapText="1"/>
    </xf>
    <xf numFmtId="164" fontId="4" fillId="0" borderId="11" xfId="1" applyNumberFormat="1" applyFont="1" applyFill="1" applyBorder="1" applyAlignment="1">
      <alignment horizontal="right" vertical="top" wrapText="1"/>
    </xf>
    <xf numFmtId="9" fontId="4" fillId="0" borderId="11" xfId="2" applyFont="1" applyBorder="1" applyAlignment="1">
      <alignment horizontal="right" vertical="top" wrapText="1"/>
    </xf>
    <xf numFmtId="164" fontId="6" fillId="0" borderId="4" xfId="1" applyNumberFormat="1" applyFont="1" applyBorder="1" applyAlignment="1">
      <alignment horizontal="right" vertical="top" wrapText="1"/>
    </xf>
    <xf numFmtId="40" fontId="6" fillId="0" borderId="11" xfId="0" applyNumberFormat="1" applyFont="1" applyBorder="1" applyAlignment="1">
      <alignment horizontal="right" wrapText="1"/>
    </xf>
    <xf numFmtId="0" fontId="6" fillId="0" borderId="11" xfId="0" applyFont="1" applyBorder="1" applyAlignment="1">
      <alignment horizontal="left" vertical="top"/>
    </xf>
    <xf numFmtId="0" fontId="6" fillId="0" borderId="6" xfId="0" applyFont="1" applyBorder="1" applyAlignment="1">
      <alignment horizontal="left"/>
    </xf>
    <xf numFmtId="164" fontId="6" fillId="0" borderId="8" xfId="1" applyNumberFormat="1" applyFont="1" applyBorder="1" applyAlignment="1">
      <alignment horizontal="right" wrapText="1"/>
    </xf>
    <xf numFmtId="164" fontId="6" fillId="0" borderId="20" xfId="1" applyNumberFormat="1" applyFont="1" applyBorder="1" applyAlignment="1">
      <alignment horizontal="right" wrapText="1"/>
    </xf>
    <xf numFmtId="164" fontId="6" fillId="0" borderId="20" xfId="1" applyNumberFormat="1" applyFont="1" applyBorder="1" applyAlignment="1">
      <alignment horizontal="right" vertical="top" wrapText="1"/>
    </xf>
    <xf numFmtId="164" fontId="6" fillId="0" borderId="21" xfId="1" applyNumberFormat="1" applyFont="1" applyBorder="1" applyAlignment="1">
      <alignment horizontal="right" vertical="top" wrapText="1"/>
    </xf>
    <xf numFmtId="164" fontId="4" fillId="0" borderId="12" xfId="1" applyNumberFormat="1" applyFont="1" applyFill="1" applyBorder="1" applyAlignment="1">
      <alignment horizontal="right" vertical="top" wrapText="1"/>
    </xf>
    <xf numFmtId="164" fontId="6" fillId="0" borderId="11" xfId="1" applyNumberFormat="1" applyFont="1" applyFill="1" applyBorder="1" applyAlignment="1">
      <alignment horizontal="right" vertical="top" wrapText="1"/>
    </xf>
    <xf numFmtId="164" fontId="6" fillId="0" borderId="21" xfId="1" applyNumberFormat="1" applyFont="1" applyFill="1" applyBorder="1" applyAlignment="1">
      <alignment horizontal="right" vertical="top" wrapText="1"/>
    </xf>
    <xf numFmtId="164" fontId="6" fillId="0" borderId="11" xfId="1" applyNumberFormat="1" applyFont="1" applyBorder="1" applyAlignment="1">
      <alignment horizontal="right" wrapText="1"/>
    </xf>
    <xf numFmtId="40" fontId="6" fillId="0" borderId="1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vertical="top" wrapText="1"/>
    </xf>
    <xf numFmtId="44" fontId="4" fillId="0" borderId="11" xfId="1" applyFont="1" applyBorder="1" applyAlignment="1">
      <alignment horizontal="right" vertical="top" wrapText="1"/>
    </xf>
    <xf numFmtId="0" fontId="6" fillId="0" borderId="11" xfId="0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left" vertical="top"/>
    </xf>
    <xf numFmtId="4" fontId="11" fillId="0" borderId="13" xfId="3" applyNumberFormat="1" applyFont="1" applyBorder="1" applyAlignment="1">
      <alignment horizontal="center" vertical="center"/>
    </xf>
    <xf numFmtId="165" fontId="11" fillId="2" borderId="14" xfId="3" applyNumberFormat="1" applyFont="1" applyFill="1" applyBorder="1" applyAlignment="1">
      <alignment horizontal="center" vertical="center"/>
    </xf>
    <xf numFmtId="165" fontId="11" fillId="2" borderId="17" xfId="3" applyNumberFormat="1" applyFont="1" applyFill="1" applyBorder="1" applyAlignment="1">
      <alignment horizontal="center" vertical="center"/>
    </xf>
    <xf numFmtId="165" fontId="11" fillId="2" borderId="15" xfId="3" applyNumberFormat="1" applyFont="1" applyFill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 wrapText="1"/>
    </xf>
    <xf numFmtId="0" fontId="11" fillId="2" borderId="16" xfId="3" applyFont="1" applyFill="1" applyBorder="1" applyAlignment="1">
      <alignment horizontal="center" vertical="center"/>
    </xf>
    <xf numFmtId="0" fontId="11" fillId="2" borderId="12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left" vertical="top"/>
    </xf>
    <xf numFmtId="4" fontId="11" fillId="2" borderId="13" xfId="3" applyNumberFormat="1" applyFont="1" applyFill="1" applyBorder="1" applyAlignment="1">
      <alignment horizontal="center" vertical="center"/>
    </xf>
    <xf numFmtId="0" fontId="11" fillId="2" borderId="14" xfId="3" applyFont="1" applyFill="1" applyBorder="1" applyAlignment="1">
      <alignment horizontal="center" vertical="center"/>
    </xf>
    <xf numFmtId="0" fontId="11" fillId="2" borderId="17" xfId="3" applyFont="1" applyFill="1" applyBorder="1" applyAlignment="1">
      <alignment horizontal="center" vertical="center"/>
    </xf>
    <xf numFmtId="0" fontId="11" fillId="2" borderId="15" xfId="3" applyFont="1" applyFill="1" applyBorder="1" applyAlignment="1">
      <alignment horizontal="center" vertical="center"/>
    </xf>
    <xf numFmtId="0" fontId="8" fillId="3" borderId="13" xfId="3" applyFont="1" applyFill="1" applyBorder="1" applyAlignment="1">
      <alignment horizontal="left" vertical="top"/>
    </xf>
    <xf numFmtId="0" fontId="8" fillId="2" borderId="18" xfId="3" applyFont="1" applyFill="1" applyBorder="1" applyAlignment="1">
      <alignment horizontal="left"/>
    </xf>
    <xf numFmtId="0" fontId="8" fillId="2" borderId="11" xfId="3" applyFont="1" applyFill="1" applyAlignment="1">
      <alignment horizontal="left"/>
    </xf>
    <xf numFmtId="0" fontId="8" fillId="2" borderId="18" xfId="3" applyFont="1" applyFill="1" applyBorder="1" applyAlignment="1">
      <alignment horizontal="left" vertical="center"/>
    </xf>
    <xf numFmtId="0" fontId="8" fillId="2" borderId="11" xfId="3" applyFont="1" applyFill="1" applyAlignment="1">
      <alignment horizontal="left" vertical="center"/>
    </xf>
    <xf numFmtId="0" fontId="14" fillId="0" borderId="13" xfId="3" applyFont="1" applyBorder="1" applyAlignment="1">
      <alignment horizontal="center" vertical="center"/>
    </xf>
  </cellXfs>
  <cellStyles count="46">
    <cellStyle name="20% - Accent1 2" xfId="23" xr:uid="{A624BD65-DAA8-43E0-A564-75BB5AF2C8A6}"/>
    <cellStyle name="20% - Accent2 2" xfId="27" xr:uid="{CBE0D8F8-FF22-4E0F-8A29-32D07B462476}"/>
    <cellStyle name="20% - Accent3 2" xfId="31" xr:uid="{0CAEC072-BA71-47DA-A7A7-691FC5207E82}"/>
    <cellStyle name="20% - Accent4 2" xfId="35" xr:uid="{6B6E04BD-F91F-4854-BCB6-7B47F61D5BAD}"/>
    <cellStyle name="20% - Accent5 2" xfId="39" xr:uid="{B9C2658E-2069-4E33-80A6-2E14B26520F1}"/>
    <cellStyle name="20% - Accent6 2" xfId="43" xr:uid="{6A7FEA93-C1D9-4061-BF91-D238DC352394}"/>
    <cellStyle name="40% - Accent1 2" xfId="24" xr:uid="{F68F3EE1-75C8-44D2-8AA8-365EACFCE589}"/>
    <cellStyle name="40% - Accent2 2" xfId="28" xr:uid="{E303B0E2-BBF5-45A1-B99F-4DF24D297836}"/>
    <cellStyle name="40% - Accent3 2" xfId="32" xr:uid="{57BB0AA5-3A40-46E6-B0F3-A185C723904D}"/>
    <cellStyle name="40% - Accent4 2" xfId="36" xr:uid="{CBB86A08-5A57-48AC-81E7-E118DBBA350F}"/>
    <cellStyle name="40% - Accent5 2" xfId="40" xr:uid="{BAD66447-3A93-4A90-BB5F-2F8731450FB0}"/>
    <cellStyle name="40% - Accent6 2" xfId="44" xr:uid="{8814DB20-74DC-4AEF-9D37-8E96009FEC78}"/>
    <cellStyle name="60% - Accent1 2" xfId="25" xr:uid="{A37BBCDA-7CBB-43FA-9A89-CBC52C89ED12}"/>
    <cellStyle name="60% - Accent2 2" xfId="29" xr:uid="{A7926959-1CB3-4348-AF08-3FF24BEC7550}"/>
    <cellStyle name="60% - Accent3 2" xfId="33" xr:uid="{A72ABE85-7859-4ED1-9F69-FCFE80313828}"/>
    <cellStyle name="60% - Accent4 2" xfId="37" xr:uid="{17FA42BE-0EB3-43FF-8797-72EFF3600758}"/>
    <cellStyle name="60% - Accent5 2" xfId="41" xr:uid="{8D5EACBA-5F66-4088-9D8E-D95BB3590EF4}"/>
    <cellStyle name="60% - Accent6 2" xfId="45" xr:uid="{ACDA7C4F-819F-488F-A7C9-4FABE9BBC572}"/>
    <cellStyle name="Accent1 2" xfId="22" xr:uid="{921D60FB-AB4D-40A1-83DA-F0753CEE757A}"/>
    <cellStyle name="Accent2 2" xfId="26" xr:uid="{83A44FE0-BFC1-40FB-B783-7644A8910A2C}"/>
    <cellStyle name="Accent3 2" xfId="30" xr:uid="{75EB5E05-40C7-4384-8509-4DBA58753F9E}"/>
    <cellStyle name="Accent4 2" xfId="34" xr:uid="{ED11A799-97C6-44FC-85C8-1A7912EAF432}"/>
    <cellStyle name="Accent5 2" xfId="38" xr:uid="{1FB68910-C7F1-49B6-8826-7D1BA6E44FD1}"/>
    <cellStyle name="Accent6 2" xfId="42" xr:uid="{5F59724B-5A91-40F3-A953-770BF78F777F}"/>
    <cellStyle name="Bad 2" xfId="17" xr:uid="{3E98AC01-3802-430E-9B36-6561CC98F8AF}"/>
    <cellStyle name="Calculation" xfId="9" builtinId="22" customBuiltin="1"/>
    <cellStyle name="Check Cell" xfId="11" builtinId="23" customBuiltin="1"/>
    <cellStyle name="Currency" xfId="1" builtinId="4"/>
    <cellStyle name="Explanatory Text 2" xfId="21" xr:uid="{759B762A-2765-48DD-8E5D-FE70A99C197C}"/>
    <cellStyle name="Good 2" xfId="16" xr:uid="{C88AA221-0E5A-4B67-8C1A-CB470CA7EB98}"/>
    <cellStyle name="Heading 1" xfId="4" builtinId="16" customBuiltin="1"/>
    <cellStyle name="Heading 2" xfId="5" builtinId="17" customBuiltin="1"/>
    <cellStyle name="Heading 3" xfId="6" builtinId="18" customBuiltin="1"/>
    <cellStyle name="Heading 4 2" xfId="15" xr:uid="{8F6E6AF9-E913-4054-BAE0-B9181A1BDD60}"/>
    <cellStyle name="Input" xfId="7" builtinId="20" customBuiltin="1"/>
    <cellStyle name="Linked Cell" xfId="10" builtinId="24" customBuiltin="1"/>
    <cellStyle name="Neutral 2" xfId="18" xr:uid="{4BF72707-B37D-487F-85D2-4E1C25D9CBC5}"/>
    <cellStyle name="Normal" xfId="0" builtinId="0"/>
    <cellStyle name="Normal 2" xfId="3" xr:uid="{288B212B-2D9E-496F-8460-23E9D5311EA7}"/>
    <cellStyle name="Normal 3" xfId="13" xr:uid="{9E724481-D3AE-4E45-8892-6D8F6541974B}"/>
    <cellStyle name="Note 2" xfId="20" xr:uid="{7B6A2C8F-90C7-47CB-810A-5942C8988607}"/>
    <cellStyle name="Output" xfId="8" builtinId="21" customBuiltin="1"/>
    <cellStyle name="Percent" xfId="2" builtinId="5"/>
    <cellStyle name="Title 2" xfId="14" xr:uid="{D2DDC927-C544-4290-A828-05C7C98AF619}"/>
    <cellStyle name="Total" xfId="12" builtinId="25" customBuiltin="1"/>
    <cellStyle name="Warning Text 2" xfId="19" xr:uid="{01EA3E07-3211-4020-9816-58DDA39B4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zoomScale="140" zoomScaleNormal="140" workbookViewId="0">
      <selection activeCell="N7" sqref="N7"/>
    </sheetView>
  </sheetViews>
  <sheetFormatPr defaultRowHeight="10.5" x14ac:dyDescent="0.15"/>
  <cols>
    <col min="1" max="1" width="25.33203125" style="5" customWidth="1"/>
    <col min="2" max="2" width="49.33203125" style="6" customWidth="1"/>
    <col min="3" max="3" width="13.6640625" style="7" customWidth="1"/>
    <col min="4" max="4" width="16.1640625" style="8" customWidth="1"/>
    <col min="5" max="5" width="14.5" style="17" customWidth="1"/>
    <col min="6" max="6" width="12.5" style="17" hidden="1" customWidth="1"/>
    <col min="7" max="7" width="3.5" style="17" customWidth="1"/>
    <col min="8" max="8" width="16.5" style="17" bestFit="1" customWidth="1"/>
    <col min="9" max="9" width="16" style="17" customWidth="1"/>
    <col min="10" max="10" width="19.33203125" style="9" customWidth="1"/>
    <col min="11" max="11" width="19.33203125" hidden="1" customWidth="1"/>
    <col min="13" max="13" width="11.83203125" bestFit="1" customWidth="1"/>
  </cols>
  <sheetData>
    <row r="1" spans="1:11" ht="27.75" customHeight="1" x14ac:dyDescent="0.15">
      <c r="A1" s="88" t="s">
        <v>201</v>
      </c>
      <c r="B1" s="88"/>
      <c r="C1" s="88"/>
      <c r="D1" s="88"/>
      <c r="E1" s="88"/>
      <c r="F1" s="88"/>
      <c r="G1" s="88"/>
      <c r="H1" s="88"/>
      <c r="I1" s="88"/>
      <c r="J1" s="88"/>
    </row>
    <row r="2" spans="1:11" ht="25.5" customHeight="1" x14ac:dyDescent="0.3">
      <c r="A2" s="20" t="s">
        <v>0</v>
      </c>
      <c r="B2" s="20" t="s">
        <v>16</v>
      </c>
      <c r="C2" s="19" t="s">
        <v>136</v>
      </c>
      <c r="D2" s="19" t="s">
        <v>199</v>
      </c>
      <c r="E2" s="19" t="s">
        <v>188</v>
      </c>
      <c r="F2" s="19" t="s">
        <v>179</v>
      </c>
      <c r="G2" s="85"/>
      <c r="H2" s="19" t="s">
        <v>189</v>
      </c>
      <c r="I2" s="19" t="s">
        <v>200</v>
      </c>
      <c r="J2" s="19" t="s">
        <v>202</v>
      </c>
      <c r="K2" s="1"/>
    </row>
    <row r="4" spans="1:11" ht="12.75" customHeight="1" x14ac:dyDescent="0.15">
      <c r="A4" s="2" t="s">
        <v>1</v>
      </c>
      <c r="B4" s="2" t="s">
        <v>17</v>
      </c>
      <c r="C4" s="4"/>
      <c r="D4" s="4"/>
      <c r="E4" s="18"/>
      <c r="F4" s="18"/>
      <c r="G4" s="18"/>
      <c r="H4" s="18"/>
      <c r="I4" s="18"/>
      <c r="J4" s="4"/>
      <c r="K4" s="3"/>
    </row>
    <row r="5" spans="1:11" ht="15" customHeight="1" x14ac:dyDescent="0.15">
      <c r="A5" s="2" t="s">
        <v>2</v>
      </c>
      <c r="B5" s="2" t="s">
        <v>194</v>
      </c>
      <c r="C5" s="10">
        <v>50000</v>
      </c>
      <c r="D5" s="70">
        <v>80782.44</v>
      </c>
      <c r="E5" s="71">
        <f>D5-C5</f>
        <v>30782.440000000002</v>
      </c>
      <c r="F5" s="72"/>
      <c r="G5" s="72"/>
      <c r="H5" s="12">
        <f>+C5*0.9</f>
        <v>45000</v>
      </c>
      <c r="I5" s="12"/>
      <c r="J5" s="10">
        <f>116884.93</f>
        <v>116884.93</v>
      </c>
      <c r="K5" s="3"/>
    </row>
    <row r="6" spans="1:11" ht="15" customHeight="1" x14ac:dyDescent="0.15">
      <c r="A6" s="2">
        <v>41105</v>
      </c>
      <c r="B6" s="2" t="s">
        <v>192</v>
      </c>
      <c r="C6" s="10">
        <v>0</v>
      </c>
      <c r="D6" s="70">
        <v>528468.43999999994</v>
      </c>
      <c r="E6" s="71">
        <f t="shared" ref="E6:E19" si="0">D6-C6</f>
        <v>528468.43999999994</v>
      </c>
      <c r="F6" s="12"/>
      <c r="G6" s="12"/>
      <c r="H6" s="12">
        <v>450000</v>
      </c>
      <c r="I6" s="12">
        <v>295264.08</v>
      </c>
      <c r="J6" s="10">
        <v>0</v>
      </c>
      <c r="K6" s="3"/>
    </row>
    <row r="7" spans="1:11" ht="15" customHeight="1" x14ac:dyDescent="0.15">
      <c r="A7" s="11">
        <v>41108</v>
      </c>
      <c r="B7" t="s">
        <v>193</v>
      </c>
      <c r="C7" s="12"/>
      <c r="D7" s="70">
        <v>116725.51999999999</v>
      </c>
      <c r="E7" s="71">
        <f t="shared" si="0"/>
        <v>116725.51999999999</v>
      </c>
      <c r="F7" s="12"/>
      <c r="G7" s="12"/>
      <c r="H7" s="12"/>
      <c r="I7" s="12">
        <v>58831.8</v>
      </c>
      <c r="J7" s="12"/>
      <c r="K7" s="13"/>
    </row>
    <row r="8" spans="1:11" ht="15" customHeight="1" x14ac:dyDescent="0.15">
      <c r="A8" s="2" t="s">
        <v>3</v>
      </c>
      <c r="B8" s="2" t="s">
        <v>18</v>
      </c>
      <c r="C8" s="10">
        <v>17097</v>
      </c>
      <c r="D8" s="70">
        <v>14229.12</v>
      </c>
      <c r="E8" s="71">
        <f t="shared" si="0"/>
        <v>-2867.8799999999992</v>
      </c>
      <c r="F8" s="12"/>
      <c r="G8" s="12"/>
      <c r="H8" s="12">
        <f>+C8</f>
        <v>17097</v>
      </c>
      <c r="I8" s="12">
        <v>8200.0300000000007</v>
      </c>
      <c r="J8" s="10">
        <v>3843.02</v>
      </c>
      <c r="K8" s="3" t="s">
        <v>178</v>
      </c>
    </row>
    <row r="9" spans="1:11" ht="15" customHeight="1" x14ac:dyDescent="0.15">
      <c r="A9" s="2" t="s">
        <v>4</v>
      </c>
      <c r="B9" s="2" t="s">
        <v>19</v>
      </c>
      <c r="C9" s="10">
        <v>85377</v>
      </c>
      <c r="D9" s="70">
        <v>85648.3</v>
      </c>
      <c r="E9" s="71">
        <f t="shared" si="0"/>
        <v>271.30000000000291</v>
      </c>
      <c r="F9" s="12"/>
      <c r="G9" s="12"/>
      <c r="H9" s="12">
        <f>+C9</f>
        <v>85377</v>
      </c>
      <c r="I9" s="12">
        <v>42761.8</v>
      </c>
      <c r="J9" s="10">
        <v>85377.36</v>
      </c>
      <c r="K9" s="3"/>
    </row>
    <row r="10" spans="1:11" ht="15" customHeight="1" x14ac:dyDescent="0.15">
      <c r="A10" s="2" t="s">
        <v>5</v>
      </c>
      <c r="B10" s="2" t="s">
        <v>20</v>
      </c>
      <c r="C10" s="10">
        <v>1915368</v>
      </c>
      <c r="D10" s="70">
        <v>1751585.07</v>
      </c>
      <c r="E10" s="71">
        <f t="shared" si="0"/>
        <v>-163782.92999999993</v>
      </c>
      <c r="F10" s="72">
        <f>D10/C10</f>
        <v>0.91449009798639225</v>
      </c>
      <c r="G10" s="72"/>
      <c r="H10" s="12">
        <f>C10*0.9</f>
        <v>1723831.2</v>
      </c>
      <c r="I10" s="12">
        <v>857119.3</v>
      </c>
      <c r="J10" s="10">
        <v>2013993.55</v>
      </c>
      <c r="K10" s="3" t="s">
        <v>177</v>
      </c>
    </row>
    <row r="11" spans="1:11" ht="15" customHeight="1" x14ac:dyDescent="0.15">
      <c r="A11" s="2" t="s">
        <v>6</v>
      </c>
      <c r="B11" s="2" t="s">
        <v>21</v>
      </c>
      <c r="C11" s="10">
        <v>623732</v>
      </c>
      <c r="D11" s="70">
        <v>558921.09</v>
      </c>
      <c r="E11" s="71">
        <f t="shared" si="0"/>
        <v>-64810.910000000033</v>
      </c>
      <c r="F11" s="72">
        <f t="shared" ref="F11:F12" si="1">D11/C11</f>
        <v>0.89609173491178895</v>
      </c>
      <c r="G11" s="72"/>
      <c r="H11" s="12">
        <f t="shared" ref="H11:H13" si="2">C11*0.9</f>
        <v>561358.80000000005</v>
      </c>
      <c r="I11" s="12">
        <v>268738.05</v>
      </c>
      <c r="J11" s="10">
        <v>530432.59</v>
      </c>
      <c r="K11" s="3" t="s">
        <v>175</v>
      </c>
    </row>
    <row r="12" spans="1:11" ht="15" customHeight="1" x14ac:dyDescent="0.15">
      <c r="A12" s="2" t="s">
        <v>7</v>
      </c>
      <c r="B12" s="2" t="s">
        <v>22</v>
      </c>
      <c r="C12" s="10">
        <v>101342</v>
      </c>
      <c r="D12" s="70">
        <v>89654.2</v>
      </c>
      <c r="E12" s="71">
        <f t="shared" si="0"/>
        <v>-11687.800000000003</v>
      </c>
      <c r="F12" s="72">
        <f t="shared" si="1"/>
        <v>0.88466973219395706</v>
      </c>
      <c r="G12" s="72"/>
      <c r="H12" s="12">
        <f t="shared" si="2"/>
        <v>91207.8</v>
      </c>
      <c r="I12" s="12">
        <v>41906.32</v>
      </c>
      <c r="J12" s="10">
        <v>101033.34</v>
      </c>
      <c r="K12" s="3" t="s">
        <v>176</v>
      </c>
    </row>
    <row r="13" spans="1:11" ht="15" customHeight="1" x14ac:dyDescent="0.15">
      <c r="A13" s="2" t="s">
        <v>8</v>
      </c>
      <c r="B13" s="2" t="s">
        <v>23</v>
      </c>
      <c r="C13" s="10">
        <v>51730</v>
      </c>
      <c r="D13" s="70">
        <v>11957.87</v>
      </c>
      <c r="E13" s="71">
        <f t="shared" si="0"/>
        <v>-39772.129999999997</v>
      </c>
      <c r="F13" s="72"/>
      <c r="G13" s="72"/>
      <c r="H13" s="12">
        <f t="shared" si="2"/>
        <v>46557</v>
      </c>
      <c r="I13" s="12"/>
      <c r="J13" s="10">
        <v>94252.72</v>
      </c>
      <c r="K13" s="3"/>
    </row>
    <row r="14" spans="1:11" ht="15" customHeight="1" x14ac:dyDescent="0.15">
      <c r="A14" s="2" t="s">
        <v>196</v>
      </c>
      <c r="B14" s="2" t="s">
        <v>197</v>
      </c>
      <c r="C14" s="12"/>
      <c r="D14" s="71"/>
      <c r="E14" s="71"/>
      <c r="F14" s="72"/>
      <c r="G14" s="72"/>
      <c r="H14" s="12"/>
      <c r="I14" s="12"/>
      <c r="J14" s="12">
        <v>1676.45</v>
      </c>
      <c r="K14" s="13"/>
    </row>
    <row r="15" spans="1:11" ht="15" customHeight="1" x14ac:dyDescent="0.15">
      <c r="A15" s="2" t="s">
        <v>9</v>
      </c>
      <c r="B15" s="2" t="s">
        <v>24</v>
      </c>
      <c r="C15" s="10">
        <v>0</v>
      </c>
      <c r="D15" s="70">
        <v>1545</v>
      </c>
      <c r="E15" s="71">
        <f t="shared" si="0"/>
        <v>1545</v>
      </c>
      <c r="F15" s="12"/>
      <c r="G15" s="12"/>
      <c r="H15" s="12"/>
      <c r="I15" s="12"/>
      <c r="J15" s="10">
        <v>2317.5</v>
      </c>
      <c r="K15" s="3"/>
    </row>
    <row r="16" spans="1:11" ht="15" customHeight="1" x14ac:dyDescent="0.15">
      <c r="A16" s="2" t="s">
        <v>13</v>
      </c>
      <c r="B16" s="2" t="s">
        <v>28</v>
      </c>
      <c r="C16" s="10">
        <v>5000</v>
      </c>
      <c r="D16" s="70">
        <v>483179.64</v>
      </c>
      <c r="E16" s="71">
        <f t="shared" si="0"/>
        <v>478179.64</v>
      </c>
      <c r="F16" s="10"/>
      <c r="G16" s="12"/>
      <c r="H16" s="12">
        <v>415000</v>
      </c>
      <c r="I16" s="12">
        <v>201700</v>
      </c>
      <c r="J16" s="10">
        <v>9550</v>
      </c>
      <c r="K16" s="3"/>
    </row>
    <row r="17" spans="1:11" ht="15" customHeight="1" x14ac:dyDescent="0.15">
      <c r="A17" s="11">
        <v>44904</v>
      </c>
      <c r="B17" s="11" t="s">
        <v>195</v>
      </c>
      <c r="C17" s="12"/>
      <c r="D17" s="71">
        <v>1845.22</v>
      </c>
      <c r="E17" s="71"/>
      <c r="F17" s="12"/>
      <c r="G17" s="12"/>
      <c r="H17" s="12"/>
      <c r="I17" s="12"/>
      <c r="J17" s="12">
        <v>3348.75</v>
      </c>
      <c r="K17" s="13"/>
    </row>
    <row r="18" spans="1:11" ht="15" customHeight="1" x14ac:dyDescent="0.15">
      <c r="A18" s="2" t="s">
        <v>14</v>
      </c>
      <c r="B18" s="2" t="s">
        <v>29</v>
      </c>
      <c r="C18" s="14">
        <v>0</v>
      </c>
      <c r="D18" s="81">
        <v>248317.98</v>
      </c>
      <c r="E18" s="81">
        <f t="shared" si="0"/>
        <v>248317.98</v>
      </c>
      <c r="F18" s="12"/>
      <c r="G18" s="12"/>
      <c r="H18" s="14">
        <v>250000</v>
      </c>
      <c r="I18" s="14">
        <v>89421.77</v>
      </c>
      <c r="J18" s="14">
        <f>17213.66+20336.7</f>
        <v>37550.36</v>
      </c>
      <c r="K18" s="3"/>
    </row>
    <row r="19" spans="1:11" ht="12.75" customHeight="1" x14ac:dyDescent="0.15">
      <c r="A19" s="15" t="s">
        <v>181</v>
      </c>
      <c r="B19" s="15"/>
      <c r="C19" s="16">
        <f>SUM(C5:C18)</f>
        <v>2849646</v>
      </c>
      <c r="D19" s="16">
        <f>SUM(D5:D18)</f>
        <v>3972859.8900000006</v>
      </c>
      <c r="E19" s="82">
        <f t="shared" si="0"/>
        <v>1123213.8900000006</v>
      </c>
      <c r="F19" s="16"/>
      <c r="G19" s="16"/>
      <c r="H19" s="16">
        <f>SUM(H4:H18)</f>
        <v>3685428.8</v>
      </c>
      <c r="I19" s="16">
        <f>SUM(I4:I18)</f>
        <v>1863943.1500000001</v>
      </c>
      <c r="J19" s="16">
        <f>SUM(J5:J18)</f>
        <v>3000260.57</v>
      </c>
      <c r="K19" s="13"/>
    </row>
    <row r="20" spans="1:11" ht="12.75" customHeight="1" x14ac:dyDescent="0.15">
      <c r="A20" s="15"/>
      <c r="B20" s="15"/>
      <c r="C20" s="16"/>
      <c r="D20" s="16"/>
      <c r="E20" s="16"/>
      <c r="F20" s="16"/>
      <c r="G20" s="16"/>
      <c r="H20" s="16"/>
      <c r="I20" s="16"/>
      <c r="J20" s="16"/>
      <c r="K20" s="13"/>
    </row>
    <row r="21" spans="1:11" ht="12.75" customHeight="1" x14ac:dyDescent="0.15">
      <c r="A21" s="15" t="s">
        <v>180</v>
      </c>
      <c r="B21" s="15"/>
      <c r="C21" s="16"/>
      <c r="D21" s="16"/>
      <c r="E21" s="16"/>
      <c r="F21" s="16"/>
      <c r="G21" s="16"/>
      <c r="H21" s="16"/>
      <c r="I21" s="16"/>
      <c r="J21" s="16"/>
      <c r="K21" s="13"/>
    </row>
    <row r="22" spans="1:11" ht="12.75" customHeight="1" x14ac:dyDescent="0.15">
      <c r="A22" s="2" t="s">
        <v>10</v>
      </c>
      <c r="B22" s="2" t="s">
        <v>25</v>
      </c>
      <c r="C22" s="10">
        <v>1344881</v>
      </c>
      <c r="D22" s="70">
        <v>1179940.54</v>
      </c>
      <c r="E22" s="71">
        <f t="shared" ref="E22:E27" si="3">D22-C22</f>
        <v>-164940.45999999996</v>
      </c>
      <c r="F22" s="72">
        <f>D22/C22</f>
        <v>0.87735683677589316</v>
      </c>
      <c r="G22" s="72"/>
      <c r="H22" s="12">
        <f t="shared" ref="H22:H24" si="4">C22*0.9</f>
        <v>1210392.9000000001</v>
      </c>
      <c r="I22" s="12">
        <v>597938.23</v>
      </c>
      <c r="J22" s="10">
        <v>1310816.6200000001</v>
      </c>
      <c r="K22" s="13"/>
    </row>
    <row r="23" spans="1:11" ht="12.75" customHeight="1" x14ac:dyDescent="0.15">
      <c r="A23" s="2" t="s">
        <v>11</v>
      </c>
      <c r="B23" s="2" t="s">
        <v>26</v>
      </c>
      <c r="C23" s="10">
        <v>305830</v>
      </c>
      <c r="D23" s="70">
        <v>261694.72</v>
      </c>
      <c r="E23" s="71">
        <f t="shared" si="3"/>
        <v>-44135.28</v>
      </c>
      <c r="F23" s="72">
        <f t="shared" ref="F23:F24" si="5">D23/C23</f>
        <v>0.85568688487067979</v>
      </c>
      <c r="G23" s="72"/>
      <c r="H23" s="12">
        <f t="shared" si="4"/>
        <v>275247</v>
      </c>
      <c r="I23" s="12">
        <v>524933.96</v>
      </c>
      <c r="J23" s="10">
        <v>259570</v>
      </c>
      <c r="K23" s="13"/>
    </row>
    <row r="24" spans="1:11" ht="12.75" customHeight="1" x14ac:dyDescent="0.15">
      <c r="A24" s="2" t="s">
        <v>12</v>
      </c>
      <c r="B24" s="2" t="s">
        <v>27</v>
      </c>
      <c r="C24" s="14">
        <v>38807</v>
      </c>
      <c r="D24" s="81">
        <v>31128.46</v>
      </c>
      <c r="E24" s="81">
        <f t="shared" si="3"/>
        <v>-7678.5400000000009</v>
      </c>
      <c r="F24" s="72">
        <f t="shared" si="5"/>
        <v>0.80213518179709842</v>
      </c>
      <c r="G24" s="72"/>
      <c r="H24" s="14">
        <f t="shared" si="4"/>
        <v>34926.300000000003</v>
      </c>
      <c r="I24" s="14">
        <v>15174.57</v>
      </c>
      <c r="J24" s="14">
        <v>39064</v>
      </c>
      <c r="K24" s="13"/>
    </row>
    <row r="25" spans="1:11" ht="12.75" customHeight="1" x14ac:dyDescent="0.15">
      <c r="A25" s="15" t="s">
        <v>184</v>
      </c>
      <c r="B25" s="15"/>
      <c r="C25" s="16">
        <f>SUM(C22:C24)</f>
        <v>1689518</v>
      </c>
      <c r="D25" s="16">
        <f>SUM(D22:D24)</f>
        <v>1472763.72</v>
      </c>
      <c r="E25" s="82">
        <f t="shared" si="3"/>
        <v>-216754.28000000003</v>
      </c>
      <c r="F25" s="16"/>
      <c r="G25" s="16"/>
      <c r="H25" s="16">
        <f>SUM(H22:H24)</f>
        <v>1520566.2000000002</v>
      </c>
      <c r="I25" s="16">
        <f>SUM(I22:I24)</f>
        <v>1138046.76</v>
      </c>
      <c r="J25" s="16">
        <f>SUM(J22:J24)</f>
        <v>1609450.62</v>
      </c>
      <c r="K25" s="13"/>
    </row>
    <row r="26" spans="1:11" ht="12.75" customHeight="1" x14ac:dyDescent="0.15">
      <c r="A26" s="15"/>
      <c r="B26" s="15"/>
      <c r="C26" s="16"/>
      <c r="D26" s="16"/>
      <c r="E26" s="71"/>
      <c r="F26" s="16"/>
      <c r="G26" s="16"/>
      <c r="H26" s="16"/>
      <c r="I26" s="16"/>
      <c r="J26" s="16"/>
      <c r="K26" s="13"/>
    </row>
    <row r="27" spans="1:11" ht="12.75" customHeight="1" thickBot="1" x14ac:dyDescent="0.2">
      <c r="A27" s="15" t="s">
        <v>185</v>
      </c>
      <c r="B27" s="11"/>
      <c r="C27" s="80">
        <f>+C25+C19</f>
        <v>4539164</v>
      </c>
      <c r="D27" s="80">
        <f>+D25+D19</f>
        <v>5445623.6100000003</v>
      </c>
      <c r="E27" s="83">
        <f t="shared" si="3"/>
        <v>906459.61000000034</v>
      </c>
      <c r="F27" s="12"/>
      <c r="G27" s="12"/>
      <c r="H27" s="80">
        <f>+H25+H19</f>
        <v>5205995</v>
      </c>
      <c r="I27" s="80">
        <f>+I25+I19</f>
        <v>3001989.91</v>
      </c>
      <c r="J27" s="80">
        <f>+J25+J19</f>
        <v>4609711.1899999995</v>
      </c>
      <c r="K27" s="13"/>
    </row>
    <row r="28" spans="1:11" ht="12.75" customHeight="1" x14ac:dyDescent="0.1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3"/>
    </row>
    <row r="29" spans="1:11" ht="12.75" customHeight="1" x14ac:dyDescent="0.15">
      <c r="A29" s="11"/>
      <c r="B29" s="11"/>
      <c r="C29" s="12"/>
      <c r="D29" s="12"/>
      <c r="E29" s="12"/>
      <c r="H29" s="12"/>
      <c r="I29" s="12"/>
      <c r="J29" s="12"/>
      <c r="K29" s="13"/>
    </row>
    <row r="30" spans="1:11" ht="25.5" customHeight="1" x14ac:dyDescent="0.15">
      <c r="A30" s="22" t="s">
        <v>186</v>
      </c>
      <c r="B30" s="22" t="s">
        <v>30</v>
      </c>
      <c r="C30" s="21" t="str">
        <f>C2</f>
        <v xml:space="preserve">FY 23-24 Budget </v>
      </c>
      <c r="D30" s="21" t="str">
        <f t="shared" ref="D30:E30" si="6">D2</f>
        <v>23-24 FY Actuals (Unaudited)</v>
      </c>
      <c r="E30" s="21" t="str">
        <f t="shared" si="6"/>
        <v>Variance - Fav/(Unfav)</v>
      </c>
      <c r="H30" s="19" t="str">
        <f>H2</f>
        <v>FY 24-25 Adopted Budget</v>
      </c>
      <c r="I30" s="19" t="str">
        <f t="shared" ref="I30:J30" si="7">I2</f>
        <v>October 31, 2024 YTD</v>
      </c>
      <c r="J30" s="19" t="str">
        <f t="shared" si="7"/>
        <v>22-23 FY Actuals</v>
      </c>
      <c r="K30" s="3"/>
    </row>
    <row r="31" spans="1:11" ht="13.5" customHeight="1" x14ac:dyDescent="0.15">
      <c r="A31" s="2" t="s">
        <v>15</v>
      </c>
      <c r="B31" s="2" t="s">
        <v>31</v>
      </c>
      <c r="C31" s="10">
        <v>847208</v>
      </c>
      <c r="D31" s="10">
        <v>842940.3</v>
      </c>
      <c r="E31" s="12">
        <f>C31-D31</f>
        <v>4267.6999999999534</v>
      </c>
      <c r="H31" s="12">
        <f>+'Wages '!N16</f>
        <v>950463.17599999986</v>
      </c>
      <c r="I31" s="12">
        <v>303347.58</v>
      </c>
      <c r="J31" s="10">
        <v>792585.53</v>
      </c>
    </row>
    <row r="32" spans="1:11" ht="13.5" customHeight="1" x14ac:dyDescent="0.15">
      <c r="A32" s="2" t="s">
        <v>32</v>
      </c>
      <c r="B32" s="2" t="s">
        <v>55</v>
      </c>
      <c r="C32" s="10">
        <v>90127</v>
      </c>
      <c r="D32" s="10">
        <v>48227.44</v>
      </c>
      <c r="E32" s="12">
        <f t="shared" ref="E32:E85" si="8">C32-D32</f>
        <v>41899.56</v>
      </c>
      <c r="H32" s="12">
        <v>80000</v>
      </c>
      <c r="I32" s="12">
        <v>27774.9</v>
      </c>
      <c r="J32" s="10">
        <v>37575.74</v>
      </c>
      <c r="K32" s="3"/>
    </row>
    <row r="33" spans="1:12" ht="13.5" customHeight="1" x14ac:dyDescent="0.15">
      <c r="A33" s="11"/>
      <c r="B33" s="11" t="s">
        <v>162</v>
      </c>
      <c r="C33" s="12"/>
      <c r="D33" s="12"/>
      <c r="E33" s="12">
        <f t="shared" si="8"/>
        <v>0</v>
      </c>
      <c r="H33" s="12">
        <f>'Wages '!O29</f>
        <v>6000</v>
      </c>
      <c r="I33" s="12"/>
      <c r="J33" s="12"/>
      <c r="K33" s="13"/>
    </row>
    <row r="34" spans="1:12" ht="13.5" customHeight="1" x14ac:dyDescent="0.15">
      <c r="A34" s="2" t="s">
        <v>33</v>
      </c>
      <c r="B34" s="2" t="s">
        <v>56</v>
      </c>
      <c r="C34" s="10">
        <v>0</v>
      </c>
      <c r="D34" s="10">
        <v>0</v>
      </c>
      <c r="E34" s="12">
        <f t="shared" si="8"/>
        <v>0</v>
      </c>
      <c r="H34" s="12"/>
      <c r="I34" s="12"/>
      <c r="J34" s="10">
        <v>0</v>
      </c>
      <c r="K34" s="3"/>
    </row>
    <row r="35" spans="1:12" ht="13.5" customHeight="1" x14ac:dyDescent="0.15">
      <c r="A35" s="2" t="s">
        <v>34</v>
      </c>
      <c r="B35" s="2" t="s">
        <v>57</v>
      </c>
      <c r="C35" s="10">
        <v>52434</v>
      </c>
      <c r="D35" s="10">
        <v>49034.03</v>
      </c>
      <c r="E35" s="12">
        <f t="shared" si="8"/>
        <v>3399.9700000000012</v>
      </c>
      <c r="H35" s="12">
        <f>+(H31+H32)*0.062</f>
        <v>63888.716911999989</v>
      </c>
      <c r="I35" s="12">
        <v>17609.61</v>
      </c>
      <c r="J35" s="10">
        <v>45278.63</v>
      </c>
      <c r="K35" s="3"/>
    </row>
    <row r="36" spans="1:12" ht="13.5" customHeight="1" x14ac:dyDescent="0.15">
      <c r="A36" s="2" t="s">
        <v>35</v>
      </c>
      <c r="B36" s="2" t="s">
        <v>58</v>
      </c>
      <c r="C36" s="10">
        <v>12263</v>
      </c>
      <c r="D36" s="10">
        <v>11467.49</v>
      </c>
      <c r="E36" s="12">
        <f t="shared" si="8"/>
        <v>795.51000000000022</v>
      </c>
      <c r="H36" s="12">
        <f>+(H31+H32)*0.0145</f>
        <v>14941.716051999998</v>
      </c>
      <c r="I36" s="12">
        <v>4118.49</v>
      </c>
      <c r="J36" s="10">
        <v>8207.49</v>
      </c>
      <c r="K36" s="3"/>
      <c r="L36" s="66"/>
    </row>
    <row r="37" spans="1:12" ht="13.5" customHeight="1" x14ac:dyDescent="0.15">
      <c r="A37" s="2" t="s">
        <v>36</v>
      </c>
      <c r="B37" s="2" t="s">
        <v>59</v>
      </c>
      <c r="C37" s="10">
        <v>39020</v>
      </c>
      <c r="D37" s="10">
        <v>137575.1</v>
      </c>
      <c r="E37" s="12">
        <f t="shared" si="8"/>
        <v>-98555.1</v>
      </c>
      <c r="H37" s="12">
        <f>(H31+H32)*0.02</f>
        <v>20609.263519999997</v>
      </c>
      <c r="I37" s="12"/>
      <c r="J37" s="10">
        <v>137575.1</v>
      </c>
      <c r="K37" s="3"/>
    </row>
    <row r="38" spans="1:12" ht="13.5" customHeight="1" x14ac:dyDescent="0.15">
      <c r="A38" s="2" t="s">
        <v>37</v>
      </c>
      <c r="B38" s="2" t="s">
        <v>60</v>
      </c>
      <c r="C38" s="10">
        <v>100000</v>
      </c>
      <c r="D38" s="10">
        <v>16728.189999999999</v>
      </c>
      <c r="E38" s="12">
        <f t="shared" si="8"/>
        <v>83271.81</v>
      </c>
      <c r="H38" s="12">
        <v>100000</v>
      </c>
      <c r="I38" s="12">
        <v>24575.919999999998</v>
      </c>
      <c r="J38" s="10">
        <v>192943.75</v>
      </c>
      <c r="K38" s="3"/>
    </row>
    <row r="39" spans="1:12" ht="13.5" customHeight="1" x14ac:dyDescent="0.15">
      <c r="A39" s="2" t="s">
        <v>38</v>
      </c>
      <c r="B39" s="2" t="s">
        <v>139</v>
      </c>
      <c r="C39" s="10">
        <v>360000</v>
      </c>
      <c r="D39" s="10">
        <v>55284.29</v>
      </c>
      <c r="E39" s="12">
        <f t="shared" si="8"/>
        <v>304715.71000000002</v>
      </c>
      <c r="H39" s="12">
        <v>360000</v>
      </c>
      <c r="I39" s="12"/>
      <c r="J39" s="10">
        <v>402707.58</v>
      </c>
      <c r="K39" s="3"/>
    </row>
    <row r="40" spans="1:12" ht="13.5" customHeight="1" x14ac:dyDescent="0.15">
      <c r="A40" s="2" t="s">
        <v>39</v>
      </c>
      <c r="B40" s="2" t="s">
        <v>61</v>
      </c>
      <c r="C40" s="10">
        <v>36575</v>
      </c>
      <c r="D40" s="10">
        <v>29890.99</v>
      </c>
      <c r="E40" s="12">
        <f t="shared" si="8"/>
        <v>6684.0099999999984</v>
      </c>
      <c r="H40" s="12">
        <v>36575</v>
      </c>
      <c r="I40" s="12"/>
      <c r="J40" s="10">
        <v>4764.9799999999996</v>
      </c>
      <c r="K40" s="3"/>
    </row>
    <row r="41" spans="1:12" ht="13.5" customHeight="1" x14ac:dyDescent="0.15">
      <c r="A41" s="2" t="s">
        <v>40</v>
      </c>
      <c r="B41" s="2" t="s">
        <v>62</v>
      </c>
      <c r="C41" s="10">
        <v>12000</v>
      </c>
      <c r="D41" s="10">
        <v>28068.43</v>
      </c>
      <c r="E41" s="12">
        <f t="shared" si="8"/>
        <v>-16068.43</v>
      </c>
      <c r="H41" s="12">
        <v>12000</v>
      </c>
      <c r="I41" s="12">
        <v>780</v>
      </c>
      <c r="J41" s="10">
        <v>1473.5</v>
      </c>
      <c r="K41" s="3"/>
    </row>
    <row r="42" spans="1:12" ht="13.5" customHeight="1" x14ac:dyDescent="0.15">
      <c r="A42" s="2" t="s">
        <v>41</v>
      </c>
      <c r="B42" s="2" t="s">
        <v>63</v>
      </c>
      <c r="C42" s="10">
        <v>1000</v>
      </c>
      <c r="D42" s="10">
        <v>0</v>
      </c>
      <c r="E42" s="12">
        <f t="shared" si="8"/>
        <v>1000</v>
      </c>
      <c r="H42" s="12">
        <v>1000</v>
      </c>
      <c r="I42" s="12"/>
      <c r="J42" s="10">
        <v>190</v>
      </c>
      <c r="K42" s="3"/>
    </row>
    <row r="43" spans="1:12" ht="13.5" customHeight="1" x14ac:dyDescent="0.15">
      <c r="A43" s="2" t="s">
        <v>42</v>
      </c>
      <c r="B43" s="2" t="s">
        <v>64</v>
      </c>
      <c r="C43" s="10">
        <v>5700</v>
      </c>
      <c r="D43" s="10">
        <v>1810</v>
      </c>
      <c r="E43" s="12">
        <f t="shared" si="8"/>
        <v>3890</v>
      </c>
      <c r="H43" s="12">
        <v>6300</v>
      </c>
      <c r="I43" s="12">
        <v>70</v>
      </c>
      <c r="J43" s="10">
        <v>3997</v>
      </c>
      <c r="K43" s="3"/>
    </row>
    <row r="44" spans="1:12" ht="13.5" customHeight="1" x14ac:dyDescent="0.15">
      <c r="A44" s="2" t="s">
        <v>43</v>
      </c>
      <c r="B44" s="2" t="s">
        <v>65</v>
      </c>
      <c r="C44" s="10">
        <v>8000</v>
      </c>
      <c r="D44" s="10">
        <v>8091.49</v>
      </c>
      <c r="E44" s="12">
        <f t="shared" si="8"/>
        <v>-91.489999999999782</v>
      </c>
      <c r="H44" s="12">
        <v>8000</v>
      </c>
      <c r="I44" s="12">
        <v>4666.99</v>
      </c>
      <c r="J44" s="10">
        <v>0</v>
      </c>
      <c r="K44" s="3"/>
    </row>
    <row r="45" spans="1:12" ht="13.5" customHeight="1" x14ac:dyDescent="0.15">
      <c r="A45" s="2" t="s">
        <v>44</v>
      </c>
      <c r="B45" s="2" t="s">
        <v>66</v>
      </c>
      <c r="C45" s="10">
        <v>30000</v>
      </c>
      <c r="D45" s="10">
        <v>30619.859999999986</v>
      </c>
      <c r="E45" s="12">
        <f t="shared" si="8"/>
        <v>-619.85999999998603</v>
      </c>
      <c r="H45" s="12">
        <v>30000</v>
      </c>
      <c r="I45" s="12">
        <v>12369.4</v>
      </c>
      <c r="J45" s="10">
        <v>15979.38</v>
      </c>
      <c r="K45" s="3"/>
    </row>
    <row r="46" spans="1:12" ht="13.5" customHeight="1" x14ac:dyDescent="0.15">
      <c r="A46" s="2" t="s">
        <v>45</v>
      </c>
      <c r="B46" s="2" t="s">
        <v>67</v>
      </c>
      <c r="C46" s="10">
        <v>20000</v>
      </c>
      <c r="D46" s="10">
        <v>0</v>
      </c>
      <c r="E46" s="12">
        <f t="shared" si="8"/>
        <v>20000</v>
      </c>
      <c r="H46" s="12">
        <v>20000</v>
      </c>
      <c r="I46" s="12"/>
      <c r="J46" s="10">
        <v>19386.61</v>
      </c>
      <c r="K46" s="3"/>
    </row>
    <row r="47" spans="1:12" ht="13.5" customHeight="1" x14ac:dyDescent="0.15">
      <c r="A47" s="2" t="s">
        <v>46</v>
      </c>
      <c r="B47" s="2" t="s">
        <v>68</v>
      </c>
      <c r="C47" s="10">
        <v>0</v>
      </c>
      <c r="D47" s="10">
        <v>5000</v>
      </c>
      <c r="E47" s="12">
        <f t="shared" si="8"/>
        <v>-5000</v>
      </c>
      <c r="H47" s="12">
        <v>0</v>
      </c>
      <c r="I47" s="12"/>
      <c r="J47" s="10">
        <v>0</v>
      </c>
      <c r="K47" s="3"/>
    </row>
    <row r="48" spans="1:12" ht="13.5" customHeight="1" x14ac:dyDescent="0.15">
      <c r="A48" s="2" t="s">
        <v>47</v>
      </c>
      <c r="B48" s="2" t="s">
        <v>69</v>
      </c>
      <c r="C48" s="10">
        <v>0</v>
      </c>
      <c r="D48" s="10">
        <v>1380</v>
      </c>
      <c r="E48" s="12">
        <f t="shared" si="8"/>
        <v>-1380</v>
      </c>
      <c r="H48" s="12">
        <v>0</v>
      </c>
      <c r="I48" s="12"/>
      <c r="J48" s="10">
        <v>0</v>
      </c>
      <c r="K48" s="3"/>
    </row>
    <row r="49" spans="1:11" ht="13.5" customHeight="1" x14ac:dyDescent="0.15">
      <c r="A49" s="2" t="s">
        <v>48</v>
      </c>
      <c r="B49" s="2" t="s">
        <v>70</v>
      </c>
      <c r="C49" s="10">
        <v>2000</v>
      </c>
      <c r="D49" s="10">
        <v>61224</v>
      </c>
      <c r="E49" s="12">
        <f t="shared" si="8"/>
        <v>-59224</v>
      </c>
      <c r="H49" s="12">
        <v>2000</v>
      </c>
      <c r="I49" s="12"/>
      <c r="J49" s="10">
        <v>41</v>
      </c>
      <c r="K49" s="3"/>
    </row>
    <row r="50" spans="1:11" ht="13.5" customHeight="1" x14ac:dyDescent="0.15">
      <c r="A50" s="2" t="s">
        <v>49</v>
      </c>
      <c r="B50" s="2" t="s">
        <v>71</v>
      </c>
      <c r="C50" s="10">
        <v>3612</v>
      </c>
      <c r="D50" s="10">
        <v>0</v>
      </c>
      <c r="E50" s="12">
        <f t="shared" si="8"/>
        <v>3612</v>
      </c>
      <c r="H50" s="12">
        <v>5000</v>
      </c>
      <c r="I50" s="12">
        <v>3624.35</v>
      </c>
      <c r="J50" s="10">
        <v>82</v>
      </c>
      <c r="K50" s="3"/>
    </row>
    <row r="51" spans="1:11" ht="13.5" customHeight="1" x14ac:dyDescent="0.15">
      <c r="A51" s="2" t="s">
        <v>50</v>
      </c>
      <c r="B51" s="2" t="s">
        <v>72</v>
      </c>
      <c r="C51" s="10">
        <v>5000</v>
      </c>
      <c r="D51" s="10">
        <v>6949.04</v>
      </c>
      <c r="E51" s="12">
        <f t="shared" si="8"/>
        <v>-1949.04</v>
      </c>
      <c r="H51" s="12">
        <v>5000</v>
      </c>
      <c r="I51" s="12">
        <v>0</v>
      </c>
      <c r="J51" s="10">
        <v>5329.71</v>
      </c>
      <c r="K51" s="3"/>
    </row>
    <row r="52" spans="1:11" ht="13.5" customHeight="1" x14ac:dyDescent="0.15">
      <c r="A52" s="2" t="s">
        <v>51</v>
      </c>
      <c r="B52" s="2" t="s">
        <v>73</v>
      </c>
      <c r="C52" s="10">
        <v>120000</v>
      </c>
      <c r="D52" s="10">
        <v>129879.67999999999</v>
      </c>
      <c r="E52" s="12">
        <f t="shared" si="8"/>
        <v>-9879.679999999993</v>
      </c>
      <c r="H52" s="12">
        <v>150000</v>
      </c>
      <c r="I52" s="12">
        <v>18048.3</v>
      </c>
      <c r="J52" s="10">
        <v>91305.8</v>
      </c>
      <c r="K52" s="3"/>
    </row>
    <row r="53" spans="1:11" ht="13.5" customHeight="1" x14ac:dyDescent="0.15">
      <c r="A53" s="2" t="s">
        <v>52</v>
      </c>
      <c r="B53" s="2" t="s">
        <v>74</v>
      </c>
      <c r="C53" s="10">
        <v>20000</v>
      </c>
      <c r="D53" s="10">
        <v>11982.78</v>
      </c>
      <c r="E53" s="12">
        <f t="shared" si="8"/>
        <v>8017.2199999999993</v>
      </c>
      <c r="H53" s="12">
        <v>20000</v>
      </c>
      <c r="I53" s="12">
        <v>5128.49</v>
      </c>
      <c r="J53" s="10">
        <v>17961.080000000002</v>
      </c>
      <c r="K53" s="3"/>
    </row>
    <row r="54" spans="1:11" ht="13.5" customHeight="1" x14ac:dyDescent="0.15">
      <c r="A54" s="2" t="s">
        <v>53</v>
      </c>
      <c r="B54" s="2" t="s">
        <v>75</v>
      </c>
      <c r="C54" s="10">
        <v>225000</v>
      </c>
      <c r="D54" s="10">
        <v>233288.44</v>
      </c>
      <c r="E54" s="12">
        <f t="shared" si="8"/>
        <v>-8288.4400000000023</v>
      </c>
      <c r="H54" s="12">
        <v>250000</v>
      </c>
      <c r="I54" s="12">
        <v>48361.67</v>
      </c>
      <c r="J54" s="10">
        <v>182776.64</v>
      </c>
      <c r="K54" s="3"/>
    </row>
    <row r="55" spans="1:11" ht="13.5" customHeight="1" x14ac:dyDescent="0.15">
      <c r="A55" s="2" t="s">
        <v>54</v>
      </c>
      <c r="B55" s="2" t="s">
        <v>76</v>
      </c>
      <c r="C55" s="10">
        <v>500</v>
      </c>
      <c r="D55" s="10">
        <v>751.16</v>
      </c>
      <c r="E55" s="12">
        <f t="shared" si="8"/>
        <v>-251.15999999999997</v>
      </c>
      <c r="H55" s="12">
        <v>1000</v>
      </c>
      <c r="I55" s="12">
        <v>0</v>
      </c>
      <c r="J55" s="10">
        <v>432</v>
      </c>
      <c r="K55" s="3"/>
    </row>
    <row r="56" spans="1:11" ht="13.5" customHeight="1" x14ac:dyDescent="0.15">
      <c r="A56" s="2" t="s">
        <v>77</v>
      </c>
      <c r="B56" s="2" t="s">
        <v>103</v>
      </c>
      <c r="C56" s="10">
        <v>80000</v>
      </c>
      <c r="D56" s="10">
        <v>100472.29</v>
      </c>
      <c r="E56" s="12">
        <f t="shared" si="8"/>
        <v>-20472.289999999994</v>
      </c>
      <c r="H56" s="12">
        <v>100000</v>
      </c>
      <c r="I56" s="12">
        <v>25760.5</v>
      </c>
      <c r="J56" s="10">
        <v>101685.33</v>
      </c>
      <c r="K56" s="3"/>
    </row>
    <row r="57" spans="1:11" ht="13.5" customHeight="1" x14ac:dyDescent="0.15">
      <c r="A57" s="2" t="s">
        <v>78</v>
      </c>
      <c r="B57" s="2" t="s">
        <v>104</v>
      </c>
      <c r="C57" s="10">
        <v>270000</v>
      </c>
      <c r="D57" s="10">
        <v>114476.14</v>
      </c>
      <c r="E57" s="12">
        <f t="shared" si="8"/>
        <v>155523.85999999999</v>
      </c>
      <c r="H57" s="12">
        <v>300000</v>
      </c>
      <c r="I57" s="12">
        <v>12000</v>
      </c>
      <c r="J57" s="10">
        <v>48380.6</v>
      </c>
      <c r="K57" s="3"/>
    </row>
    <row r="58" spans="1:11" ht="13.5" customHeight="1" x14ac:dyDescent="0.15">
      <c r="A58" s="2" t="s">
        <v>79</v>
      </c>
      <c r="B58" s="2" t="s">
        <v>105</v>
      </c>
      <c r="C58" s="10">
        <v>0</v>
      </c>
      <c r="D58" s="10">
        <v>150.63</v>
      </c>
      <c r="E58" s="12">
        <f t="shared" si="8"/>
        <v>-150.63</v>
      </c>
      <c r="H58" s="12">
        <v>0</v>
      </c>
      <c r="I58" s="12">
        <v>0</v>
      </c>
      <c r="J58" s="12">
        <v>0</v>
      </c>
      <c r="K58" s="3"/>
    </row>
    <row r="59" spans="1:11" ht="13.5" customHeight="1" x14ac:dyDescent="0.15">
      <c r="A59" s="2" t="s">
        <v>80</v>
      </c>
      <c r="B59" s="2" t="s">
        <v>106</v>
      </c>
      <c r="C59" s="10">
        <v>20000</v>
      </c>
      <c r="D59" s="10">
        <v>12429.96</v>
      </c>
      <c r="E59" s="12">
        <f t="shared" si="8"/>
        <v>7570.0400000000009</v>
      </c>
      <c r="H59" s="12">
        <v>20000</v>
      </c>
      <c r="I59" s="12">
        <v>3752.57</v>
      </c>
      <c r="J59" s="10">
        <v>10384.620000000001</v>
      </c>
      <c r="K59" s="3"/>
    </row>
    <row r="60" spans="1:11" ht="13.5" customHeight="1" x14ac:dyDescent="0.15">
      <c r="A60" s="2" t="s">
        <v>81</v>
      </c>
      <c r="B60" s="2" t="s">
        <v>107</v>
      </c>
      <c r="C60" s="10">
        <v>15000</v>
      </c>
      <c r="D60" s="10">
        <v>14728.03</v>
      </c>
      <c r="E60" s="12">
        <f t="shared" si="8"/>
        <v>271.96999999999935</v>
      </c>
      <c r="H60" s="12">
        <f>+C60</f>
        <v>15000</v>
      </c>
      <c r="I60" s="12">
        <v>236.9</v>
      </c>
      <c r="J60" s="10">
        <v>15369.4</v>
      </c>
      <c r="K60" s="3"/>
    </row>
    <row r="61" spans="1:11" ht="13.5" customHeight="1" x14ac:dyDescent="0.15">
      <c r="A61" s="2" t="s">
        <v>82</v>
      </c>
      <c r="B61" s="2" t="s">
        <v>108</v>
      </c>
      <c r="C61" s="10">
        <v>36200</v>
      </c>
      <c r="D61" s="10">
        <v>36198.839999999997</v>
      </c>
      <c r="E61" s="12">
        <f t="shared" si="8"/>
        <v>1.1600000000034925</v>
      </c>
      <c r="H61" s="12">
        <f>+C61</f>
        <v>36200</v>
      </c>
      <c r="I61" s="12"/>
      <c r="J61" s="10">
        <v>30793.74</v>
      </c>
      <c r="K61" s="3"/>
    </row>
    <row r="62" spans="1:11" ht="13.5" customHeight="1" x14ac:dyDescent="0.15">
      <c r="A62" s="2" t="s">
        <v>83</v>
      </c>
      <c r="B62" s="2" t="s">
        <v>109</v>
      </c>
      <c r="C62" s="10">
        <v>1000</v>
      </c>
      <c r="D62" s="10">
        <v>2193.42</v>
      </c>
      <c r="E62" s="12">
        <f t="shared" si="8"/>
        <v>-1193.42</v>
      </c>
      <c r="H62" s="12">
        <f>+C62</f>
        <v>1000</v>
      </c>
      <c r="I62" s="12"/>
      <c r="J62" s="10">
        <v>0</v>
      </c>
      <c r="K62" s="3"/>
    </row>
    <row r="63" spans="1:11" ht="13.5" customHeight="1" x14ac:dyDescent="0.15">
      <c r="A63" s="2">
        <v>55006</v>
      </c>
      <c r="B63" s="11" t="s">
        <v>190</v>
      </c>
      <c r="C63" s="12"/>
      <c r="D63" s="12">
        <v>5346.12</v>
      </c>
      <c r="E63" s="12"/>
      <c r="H63" s="12">
        <v>0</v>
      </c>
      <c r="I63" s="12"/>
      <c r="J63" s="12">
        <v>10164.629999999999</v>
      </c>
      <c r="K63" s="13"/>
    </row>
    <row r="64" spans="1:11" ht="13.5" customHeight="1" x14ac:dyDescent="0.15">
      <c r="A64" s="2" t="s">
        <v>84</v>
      </c>
      <c r="B64" s="2" t="s">
        <v>110</v>
      </c>
      <c r="C64" s="10">
        <v>5000</v>
      </c>
      <c r="D64" s="10">
        <v>3017.5</v>
      </c>
      <c r="E64" s="12">
        <f t="shared" si="8"/>
        <v>1982.5</v>
      </c>
      <c r="H64" s="12">
        <v>6000</v>
      </c>
      <c r="I64" s="12"/>
      <c r="J64" s="10">
        <v>2398.1999999999998</v>
      </c>
      <c r="K64" s="3"/>
    </row>
    <row r="65" spans="1:11" ht="13.5" customHeight="1" x14ac:dyDescent="0.15">
      <c r="A65" s="2" t="s">
        <v>85</v>
      </c>
      <c r="B65" s="2" t="s">
        <v>111</v>
      </c>
      <c r="C65" s="10">
        <v>10000</v>
      </c>
      <c r="D65" s="10">
        <v>8403.98</v>
      </c>
      <c r="E65" s="12">
        <f t="shared" si="8"/>
        <v>1596.0200000000004</v>
      </c>
      <c r="H65" s="12">
        <v>10000</v>
      </c>
      <c r="I65" s="12">
        <v>3048.94</v>
      </c>
      <c r="J65" s="10">
        <v>6727.34</v>
      </c>
      <c r="K65" s="3"/>
    </row>
    <row r="66" spans="1:11" ht="13.5" customHeight="1" x14ac:dyDescent="0.15">
      <c r="A66" s="2" t="s">
        <v>86</v>
      </c>
      <c r="B66" s="2" t="s">
        <v>112</v>
      </c>
      <c r="C66" s="10">
        <v>13000</v>
      </c>
      <c r="D66" s="10">
        <v>3573.06</v>
      </c>
      <c r="E66" s="12">
        <f t="shared" si="8"/>
        <v>9426.94</v>
      </c>
      <c r="H66" s="12">
        <f>+C66</f>
        <v>13000</v>
      </c>
      <c r="I66" s="12">
        <v>2249.98</v>
      </c>
      <c r="J66" s="10">
        <v>9720.76</v>
      </c>
      <c r="K66" s="3"/>
    </row>
    <row r="67" spans="1:11" ht="13.5" customHeight="1" x14ac:dyDescent="0.15">
      <c r="A67" s="2" t="s">
        <v>87</v>
      </c>
      <c r="B67" s="2" t="s">
        <v>113</v>
      </c>
      <c r="C67" s="10">
        <v>3100</v>
      </c>
      <c r="D67" s="10">
        <v>796.68</v>
      </c>
      <c r="E67" s="12">
        <f t="shared" si="8"/>
        <v>2303.3200000000002</v>
      </c>
      <c r="H67" s="12">
        <f>+C67</f>
        <v>3100</v>
      </c>
      <c r="I67" s="12"/>
      <c r="J67" s="10">
        <v>1200.3599999999999</v>
      </c>
      <c r="K67" s="3"/>
    </row>
    <row r="68" spans="1:11" ht="13.5" customHeight="1" x14ac:dyDescent="0.15">
      <c r="A68" s="2" t="s">
        <v>88</v>
      </c>
      <c r="B68" s="2" t="s">
        <v>114</v>
      </c>
      <c r="C68" s="70">
        <v>18882</v>
      </c>
      <c r="D68" s="70">
        <v>18881.740000000002</v>
      </c>
      <c r="E68" s="12">
        <f t="shared" si="8"/>
        <v>0.25999999999839929</v>
      </c>
      <c r="H68" s="71">
        <v>0</v>
      </c>
      <c r="I68" s="71"/>
      <c r="J68" s="70">
        <v>0</v>
      </c>
      <c r="K68" s="3" t="s">
        <v>164</v>
      </c>
    </row>
    <row r="69" spans="1:11" ht="13.5" customHeight="1" x14ac:dyDescent="0.15">
      <c r="A69" s="2" t="s">
        <v>89</v>
      </c>
      <c r="B69" s="2" t="s">
        <v>115</v>
      </c>
      <c r="C69" s="70">
        <v>6832</v>
      </c>
      <c r="D69" s="70">
        <v>8.16</v>
      </c>
      <c r="E69" s="12">
        <f t="shared" si="8"/>
        <v>6823.84</v>
      </c>
      <c r="H69" s="71">
        <v>0</v>
      </c>
      <c r="I69" s="71"/>
      <c r="J69" s="70">
        <v>0</v>
      </c>
      <c r="K69" s="3" t="s">
        <v>164</v>
      </c>
    </row>
    <row r="70" spans="1:11" ht="13.5" customHeight="1" x14ac:dyDescent="0.15">
      <c r="A70" s="2" t="s">
        <v>90</v>
      </c>
      <c r="B70" s="2" t="s">
        <v>116</v>
      </c>
      <c r="C70" s="10">
        <v>2000</v>
      </c>
      <c r="D70" s="10">
        <v>392.68</v>
      </c>
      <c r="E70" s="12">
        <f t="shared" si="8"/>
        <v>1607.32</v>
      </c>
      <c r="H70" s="12">
        <f>+C70</f>
        <v>2000</v>
      </c>
      <c r="I70" s="12"/>
      <c r="J70" s="10">
        <v>1123.99</v>
      </c>
      <c r="K70" s="3"/>
    </row>
    <row r="71" spans="1:11" ht="13.5" customHeight="1" x14ac:dyDescent="0.15">
      <c r="A71" s="2" t="s">
        <v>91</v>
      </c>
      <c r="B71" s="2" t="s">
        <v>117</v>
      </c>
      <c r="C71" s="10">
        <v>3000</v>
      </c>
      <c r="D71" s="10">
        <v>0</v>
      </c>
      <c r="E71" s="12">
        <f t="shared" si="8"/>
        <v>3000</v>
      </c>
      <c r="H71" s="12">
        <f>+C71</f>
        <v>3000</v>
      </c>
      <c r="I71" s="12"/>
      <c r="J71" s="10">
        <v>0</v>
      </c>
      <c r="K71" s="3"/>
    </row>
    <row r="72" spans="1:11" ht="13.5" customHeight="1" x14ac:dyDescent="0.15">
      <c r="A72" s="2" t="s">
        <v>92</v>
      </c>
      <c r="B72" s="2" t="s">
        <v>118</v>
      </c>
      <c r="C72" s="10">
        <v>6000</v>
      </c>
      <c r="D72" s="10">
        <v>4034.71</v>
      </c>
      <c r="E72" s="12">
        <f t="shared" si="8"/>
        <v>1965.29</v>
      </c>
      <c r="H72" s="12">
        <v>6000</v>
      </c>
      <c r="I72" s="87">
        <v>1111.0899999999999</v>
      </c>
      <c r="J72" s="10">
        <v>4497.28</v>
      </c>
      <c r="K72" s="3"/>
    </row>
    <row r="73" spans="1:11" ht="13.5" customHeight="1" x14ac:dyDescent="0.15">
      <c r="A73" s="2" t="s">
        <v>93</v>
      </c>
      <c r="B73" s="2" t="s">
        <v>119</v>
      </c>
      <c r="C73" s="10">
        <v>12000</v>
      </c>
      <c r="D73" s="10">
        <v>21059.25</v>
      </c>
      <c r="E73" s="12">
        <f t="shared" si="8"/>
        <v>-9059.25</v>
      </c>
      <c r="H73" s="12">
        <v>25000</v>
      </c>
      <c r="I73" s="87">
        <v>0</v>
      </c>
      <c r="J73" s="10">
        <v>0</v>
      </c>
      <c r="K73" s="3"/>
    </row>
    <row r="74" spans="1:11" ht="13.5" customHeight="1" x14ac:dyDescent="0.15">
      <c r="A74" s="2" t="s">
        <v>94</v>
      </c>
      <c r="B74" s="2" t="s">
        <v>120</v>
      </c>
      <c r="C74" s="10">
        <v>12000</v>
      </c>
      <c r="D74" s="10">
        <v>10676.85</v>
      </c>
      <c r="E74" s="12">
        <f t="shared" si="8"/>
        <v>1323.1499999999996</v>
      </c>
      <c r="H74" s="12">
        <v>15000</v>
      </c>
      <c r="I74" s="87">
        <v>1458.73</v>
      </c>
      <c r="J74" s="10">
        <v>8676.2800000000007</v>
      </c>
      <c r="K74" s="3"/>
    </row>
    <row r="75" spans="1:11" ht="13.5" customHeight="1" x14ac:dyDescent="0.15">
      <c r="A75" s="2" t="s">
        <v>95</v>
      </c>
      <c r="B75" s="2" t="s">
        <v>121</v>
      </c>
      <c r="C75" s="10">
        <v>172750</v>
      </c>
      <c r="D75" s="10">
        <v>163150.65</v>
      </c>
      <c r="E75" s="12">
        <f t="shared" si="8"/>
        <v>9599.3500000000058</v>
      </c>
      <c r="H75" s="12">
        <v>180000</v>
      </c>
      <c r="I75" s="87">
        <v>41702.76</v>
      </c>
      <c r="J75" s="10">
        <v>134688.1</v>
      </c>
      <c r="K75" s="3"/>
    </row>
    <row r="76" spans="1:11" ht="13.5" customHeight="1" x14ac:dyDescent="0.15">
      <c r="A76" s="2" t="s">
        <v>96</v>
      </c>
      <c r="B76" s="2" t="s">
        <v>122</v>
      </c>
      <c r="C76" s="70">
        <v>15000</v>
      </c>
      <c r="D76" s="70">
        <v>488.33</v>
      </c>
      <c r="E76" s="12">
        <f t="shared" si="8"/>
        <v>14511.67</v>
      </c>
      <c r="H76" s="71">
        <v>15000</v>
      </c>
      <c r="I76" s="87">
        <v>0</v>
      </c>
      <c r="J76" s="70">
        <v>7611.05</v>
      </c>
      <c r="K76" s="3"/>
    </row>
    <row r="77" spans="1:11" ht="13.5" customHeight="1" x14ac:dyDescent="0.15">
      <c r="A77" s="2" t="s">
        <v>97</v>
      </c>
      <c r="B77" s="2" t="s">
        <v>123</v>
      </c>
      <c r="C77" s="10">
        <v>55000</v>
      </c>
      <c r="D77" s="10">
        <v>40944.26</v>
      </c>
      <c r="E77" s="12">
        <f t="shared" si="8"/>
        <v>14055.739999999998</v>
      </c>
      <c r="H77" s="12">
        <v>55000</v>
      </c>
      <c r="I77" s="87">
        <v>20066.150000000001</v>
      </c>
      <c r="J77" s="10">
        <v>39402.089999999997</v>
      </c>
      <c r="K77" s="3"/>
    </row>
    <row r="78" spans="1:11" ht="13.5" customHeight="1" x14ac:dyDescent="0.15">
      <c r="A78" s="2" t="s">
        <v>98</v>
      </c>
      <c r="B78" s="2" t="s">
        <v>124</v>
      </c>
      <c r="C78" s="10">
        <v>60000</v>
      </c>
      <c r="D78" s="10">
        <v>53006.94</v>
      </c>
      <c r="E78" s="12">
        <f t="shared" si="8"/>
        <v>6993.0599999999977</v>
      </c>
      <c r="H78" s="12">
        <v>65000</v>
      </c>
      <c r="I78" s="87">
        <v>20780.02</v>
      </c>
      <c r="J78" s="10">
        <v>39838.57</v>
      </c>
      <c r="K78" s="3"/>
    </row>
    <row r="79" spans="1:11" ht="13.5" customHeight="1" x14ac:dyDescent="0.15">
      <c r="A79" s="2" t="s">
        <v>99</v>
      </c>
      <c r="B79" s="2" t="s">
        <v>125</v>
      </c>
      <c r="C79" s="10">
        <v>9606</v>
      </c>
      <c r="D79" s="10">
        <v>8359.49</v>
      </c>
      <c r="E79" s="12">
        <f t="shared" si="8"/>
        <v>1246.5100000000002</v>
      </c>
      <c r="H79" s="12">
        <v>11160</v>
      </c>
      <c r="I79" s="87">
        <v>1856.34</v>
      </c>
      <c r="J79" s="10">
        <v>8074.23</v>
      </c>
      <c r="K79" s="3"/>
    </row>
    <row r="80" spans="1:11" ht="13.5" customHeight="1" x14ac:dyDescent="0.15">
      <c r="A80" s="2" t="s">
        <v>100</v>
      </c>
      <c r="B80" s="2" t="s">
        <v>126</v>
      </c>
      <c r="C80" s="10">
        <v>0</v>
      </c>
      <c r="D80" s="10">
        <v>0</v>
      </c>
      <c r="E80" s="12">
        <f t="shared" si="8"/>
        <v>0</v>
      </c>
      <c r="H80" s="12"/>
      <c r="I80" s="12"/>
      <c r="J80" s="10">
        <v>177205.8</v>
      </c>
      <c r="K80" s="3"/>
    </row>
    <row r="81" spans="1:11" ht="13.5" customHeight="1" x14ac:dyDescent="0.15">
      <c r="A81" s="2" t="s">
        <v>101</v>
      </c>
      <c r="B81" s="2" t="s">
        <v>127</v>
      </c>
      <c r="C81" s="10">
        <v>0</v>
      </c>
      <c r="D81" s="10">
        <v>0</v>
      </c>
      <c r="E81" s="12">
        <f t="shared" si="8"/>
        <v>0</v>
      </c>
      <c r="H81" s="12"/>
      <c r="I81" s="12"/>
      <c r="J81" s="10">
        <v>0</v>
      </c>
      <c r="K81" s="3"/>
    </row>
    <row r="82" spans="1:11" ht="13.5" customHeight="1" x14ac:dyDescent="0.15">
      <c r="A82" s="2" t="s">
        <v>102</v>
      </c>
      <c r="B82" s="2" t="s">
        <v>128</v>
      </c>
      <c r="C82" s="70">
        <v>5600</v>
      </c>
      <c r="D82" s="70">
        <v>8977.44</v>
      </c>
      <c r="E82" s="12">
        <f t="shared" si="8"/>
        <v>-3377.4400000000005</v>
      </c>
      <c r="H82" s="71">
        <v>0</v>
      </c>
      <c r="I82" s="18">
        <v>3113.56</v>
      </c>
      <c r="J82" s="70">
        <v>2810.2</v>
      </c>
    </row>
    <row r="83" spans="1:11" ht="13.5" customHeight="1" x14ac:dyDescent="0.15">
      <c r="A83" s="2" t="s">
        <v>129</v>
      </c>
      <c r="B83" s="2" t="s">
        <v>133</v>
      </c>
      <c r="C83" s="12">
        <v>306681</v>
      </c>
      <c r="D83" s="12">
        <v>0</v>
      </c>
      <c r="E83" s="12">
        <f t="shared" si="8"/>
        <v>306681</v>
      </c>
      <c r="H83" s="12">
        <v>200000</v>
      </c>
      <c r="I83" s="12"/>
      <c r="J83" s="12">
        <v>0</v>
      </c>
    </row>
    <row r="84" spans="1:11" ht="13.5" customHeight="1" x14ac:dyDescent="0.15">
      <c r="A84" s="2" t="s">
        <v>131</v>
      </c>
      <c r="B84" s="2" t="s">
        <v>134</v>
      </c>
      <c r="C84" s="14">
        <v>0</v>
      </c>
      <c r="D84" s="14">
        <v>0</v>
      </c>
      <c r="E84" s="14">
        <f t="shared" si="8"/>
        <v>0</v>
      </c>
      <c r="H84" s="14"/>
      <c r="I84" s="14"/>
      <c r="J84" s="14">
        <v>9781</v>
      </c>
    </row>
    <row r="85" spans="1:11" ht="12.75" customHeight="1" x14ac:dyDescent="0.15">
      <c r="A85" s="15" t="s">
        <v>137</v>
      </c>
      <c r="B85" s="15"/>
      <c r="C85" s="16">
        <f>SUM(C31:C84)</f>
        <v>3129090</v>
      </c>
      <c r="D85" s="16">
        <f>SUM(D31:D84)</f>
        <v>2341959.8599999994</v>
      </c>
      <c r="E85" s="16">
        <f t="shared" si="8"/>
        <v>787130.1400000006</v>
      </c>
      <c r="H85" s="16">
        <f>SUM(H31:H84)</f>
        <v>3224237.8724839999</v>
      </c>
      <c r="I85" s="16">
        <f>SUM(I31:I84)</f>
        <v>607613.24</v>
      </c>
      <c r="J85" s="16">
        <f>SUM(J31:J84)</f>
        <v>2631127.0899999994</v>
      </c>
    </row>
    <row r="86" spans="1:11" ht="12.75" customHeight="1" x14ac:dyDescent="0.15">
      <c r="A86" s="15"/>
      <c r="B86" s="15"/>
      <c r="C86" s="16"/>
      <c r="D86" s="16"/>
      <c r="E86" s="12"/>
      <c r="H86" s="16"/>
      <c r="I86" s="16"/>
      <c r="J86" s="16"/>
    </row>
    <row r="87" spans="1:11" ht="12.75" customHeight="1" thickBot="1" x14ac:dyDescent="0.2">
      <c r="A87" s="75" t="s">
        <v>183</v>
      </c>
      <c r="B87" s="15"/>
      <c r="C87" s="79">
        <f>C19-C85</f>
        <v>-279444</v>
      </c>
      <c r="D87" s="79">
        <f>D19-D85</f>
        <v>1630900.0300000012</v>
      </c>
      <c r="E87" s="79">
        <f>D87-C87</f>
        <v>1910344.0300000012</v>
      </c>
      <c r="H87" s="79">
        <f>H19-H85</f>
        <v>461190.92751599988</v>
      </c>
      <c r="I87" s="79">
        <f>I19-I85</f>
        <v>1256329.9100000001</v>
      </c>
      <c r="J87" s="79">
        <f>J19-J85</f>
        <v>369133.48000000045</v>
      </c>
    </row>
    <row r="88" spans="1:11" ht="12.75" customHeight="1" thickTop="1" x14ac:dyDescent="0.15">
      <c r="A88" s="15"/>
      <c r="B88" s="15"/>
      <c r="C88" s="16"/>
      <c r="D88" s="16"/>
      <c r="E88" s="16"/>
      <c r="H88" s="16"/>
      <c r="I88" s="16"/>
      <c r="J88" s="16"/>
    </row>
    <row r="89" spans="1:11" ht="12.75" customHeight="1" x14ac:dyDescent="0.15"/>
    <row r="90" spans="1:11" ht="26.25" customHeight="1" x14ac:dyDescent="0.15">
      <c r="A90" s="22" t="s">
        <v>187</v>
      </c>
      <c r="B90" s="22"/>
      <c r="C90" s="21" t="str">
        <f>C2</f>
        <v xml:space="preserve">FY 23-24 Budget </v>
      </c>
      <c r="D90" s="21" t="str">
        <f t="shared" ref="D90:E90" si="9">D2</f>
        <v>23-24 FY Actuals (Unaudited)</v>
      </c>
      <c r="E90" s="21" t="str">
        <f t="shared" si="9"/>
        <v>Variance - Fav/(Unfav)</v>
      </c>
      <c r="H90" s="19" t="str">
        <f>H2</f>
        <v>FY 24-25 Adopted Budget</v>
      </c>
      <c r="I90" s="19" t="str">
        <f t="shared" ref="I90:J90" si="10">I2</f>
        <v>October 31, 2024 YTD</v>
      </c>
      <c r="J90" s="19" t="str">
        <f t="shared" si="10"/>
        <v>22-23 FY Actuals</v>
      </c>
    </row>
    <row r="91" spans="1:11" ht="15" customHeight="1" x14ac:dyDescent="0.15">
      <c r="A91" s="2" t="s">
        <v>130</v>
      </c>
      <c r="B91" s="2" t="s">
        <v>198</v>
      </c>
      <c r="C91" s="10">
        <v>1331550</v>
      </c>
      <c r="D91" s="10">
        <v>1488447.78</v>
      </c>
      <c r="E91" s="12">
        <f t="shared" ref="E91:E94" si="11">C91-D91</f>
        <v>-156897.78000000003</v>
      </c>
      <c r="H91" s="12">
        <f>1287775+20000+66800</f>
        <v>1374575</v>
      </c>
      <c r="I91" s="12">
        <v>1124754.17</v>
      </c>
      <c r="J91" s="10">
        <f>580844.17+815000</f>
        <v>1395844.17</v>
      </c>
    </row>
    <row r="92" spans="1:11" ht="15" customHeight="1" x14ac:dyDescent="0.15">
      <c r="A92" s="2" t="s">
        <v>44</v>
      </c>
      <c r="B92" s="2" t="s">
        <v>66</v>
      </c>
      <c r="C92" s="10">
        <v>0</v>
      </c>
      <c r="D92" s="10">
        <v>167231.69</v>
      </c>
      <c r="E92" s="12">
        <f t="shared" si="11"/>
        <v>-167231.69</v>
      </c>
      <c r="H92" s="12">
        <v>0</v>
      </c>
      <c r="I92" s="12">
        <v>38270</v>
      </c>
      <c r="J92" s="10">
        <v>0</v>
      </c>
    </row>
    <row r="93" spans="1:11" ht="15" customHeight="1" x14ac:dyDescent="0.15">
      <c r="A93" s="2" t="s">
        <v>132</v>
      </c>
      <c r="B93" s="2" t="s">
        <v>135</v>
      </c>
      <c r="C93" s="14">
        <v>0</v>
      </c>
      <c r="D93" s="14">
        <v>420082.82</v>
      </c>
      <c r="E93" s="14">
        <f t="shared" si="11"/>
        <v>-420082.82</v>
      </c>
      <c r="H93" s="14">
        <v>1300000</v>
      </c>
      <c r="I93" s="14"/>
      <c r="J93" s="14">
        <v>0</v>
      </c>
    </row>
    <row r="94" spans="1:11" x14ac:dyDescent="0.15">
      <c r="A94" s="15" t="s">
        <v>138</v>
      </c>
      <c r="B94" s="2"/>
      <c r="C94" s="73">
        <f>SUM(C91:C93)</f>
        <v>1331550</v>
      </c>
      <c r="D94" s="73">
        <f>SUM(D91:D93)</f>
        <v>2075762.29</v>
      </c>
      <c r="E94" s="73">
        <f t="shared" si="11"/>
        <v>-744212.29</v>
      </c>
      <c r="F94" s="74"/>
      <c r="G94" s="74"/>
      <c r="H94" s="16">
        <f>SUM(H91:H93)</f>
        <v>2674575</v>
      </c>
      <c r="I94" s="16">
        <f>SUM(I91:I93)</f>
        <v>1163024.17</v>
      </c>
      <c r="J94" s="16">
        <f>SUM(J91:J93)</f>
        <v>1395844.17</v>
      </c>
      <c r="K94" s="3"/>
    </row>
    <row r="95" spans="1:11" x14ac:dyDescent="0.15">
      <c r="A95" s="15"/>
      <c r="B95" s="11"/>
      <c r="C95" s="16"/>
      <c r="D95" s="16"/>
      <c r="E95" s="12"/>
      <c r="F95" s="74"/>
      <c r="G95" s="74"/>
      <c r="H95" s="16"/>
      <c r="I95" s="16"/>
      <c r="J95" s="16"/>
      <c r="K95" s="13"/>
    </row>
    <row r="96" spans="1:11" ht="11.25" thickBot="1" x14ac:dyDescent="0.2">
      <c r="A96" s="76" t="s">
        <v>182</v>
      </c>
      <c r="C96" s="78">
        <f>C25-C94</f>
        <v>357968</v>
      </c>
      <c r="D96" s="78">
        <f>D25-D94</f>
        <v>-602998.57000000007</v>
      </c>
      <c r="E96" s="79">
        <f>D96-C96</f>
        <v>-960966.57000000007</v>
      </c>
      <c r="F96" s="77"/>
      <c r="G96" s="84"/>
      <c r="H96" s="78">
        <f>H25-H94</f>
        <v>-1154008.7999999998</v>
      </c>
      <c r="I96" s="78">
        <f>I25-I94</f>
        <v>-24977.409999999916</v>
      </c>
      <c r="J96" s="78">
        <f>J25-J94</f>
        <v>213606.45000000019</v>
      </c>
    </row>
    <row r="97" spans="1:10" ht="11.25" thickTop="1" x14ac:dyDescent="0.15"/>
    <row r="99" spans="1:10" x14ac:dyDescent="0.15">
      <c r="A99" s="86">
        <v>55016</v>
      </c>
      <c r="B99" s="15" t="s">
        <v>191</v>
      </c>
      <c r="C99" s="16">
        <v>0</v>
      </c>
      <c r="D99" s="16">
        <v>1243998.31</v>
      </c>
      <c r="E99" s="16">
        <f>C99-D99</f>
        <v>-1243998.31</v>
      </c>
      <c r="F99" s="74"/>
      <c r="G99" s="74"/>
      <c r="H99" s="16">
        <v>0</v>
      </c>
      <c r="I99" s="16">
        <v>0</v>
      </c>
      <c r="J99" s="16">
        <v>1269823.8400000001</v>
      </c>
    </row>
  </sheetData>
  <mergeCells count="1">
    <mergeCell ref="A1:J1"/>
  </mergeCells>
  <phoneticPr fontId="4" type="noConversion"/>
  <pageMargins left="0.7" right="0.7" top="0.75" bottom="0.75" header="0.3" footer="0.3"/>
  <pageSetup scale="71" fitToHeight="2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7E79-BEB3-4009-B7BE-71C5C3079320}">
  <dimension ref="A1:W29"/>
  <sheetViews>
    <sheetView workbookViewId="0">
      <selection activeCell="P15" sqref="P15"/>
    </sheetView>
  </sheetViews>
  <sheetFormatPr defaultRowHeight="15" x14ac:dyDescent="0.25"/>
  <cols>
    <col min="1" max="2" width="9.33203125" style="28"/>
    <col min="3" max="3" width="31" style="28" customWidth="1"/>
    <col min="4" max="4" width="13" style="28" bestFit="1" customWidth="1"/>
    <col min="5" max="5" width="9.33203125" style="28"/>
    <col min="6" max="6" width="13.5" style="28" customWidth="1"/>
    <col min="7" max="7" width="11" style="28" bestFit="1" customWidth="1"/>
    <col min="8" max="11" width="9.33203125" style="28"/>
    <col min="12" max="12" width="10.6640625" style="28" bestFit="1" customWidth="1"/>
    <col min="13" max="13" width="10.33203125" style="28" bestFit="1" customWidth="1"/>
    <col min="14" max="14" width="13" style="28" bestFit="1" customWidth="1"/>
    <col min="15" max="15" width="11.83203125" style="28" bestFit="1" customWidth="1"/>
    <col min="16" max="16" width="9.33203125" style="28"/>
    <col min="17" max="17" width="13" style="28" bestFit="1" customWidth="1"/>
    <col min="18" max="18" width="10.6640625" style="28" bestFit="1" customWidth="1"/>
    <col min="19" max="22" width="9.33203125" style="28"/>
    <col min="23" max="23" width="14.83203125" style="28" bestFit="1" customWidth="1"/>
    <col min="24" max="16384" width="9.33203125" style="28"/>
  </cols>
  <sheetData>
    <row r="1" spans="1:23" ht="45" x14ac:dyDescent="0.25">
      <c r="A1" s="97" t="s">
        <v>140</v>
      </c>
      <c r="B1" s="97"/>
      <c r="C1" s="97"/>
      <c r="D1" s="98" t="s">
        <v>141</v>
      </c>
      <c r="E1" s="98"/>
      <c r="F1" s="23" t="s">
        <v>142</v>
      </c>
      <c r="G1" s="23" t="s">
        <v>143</v>
      </c>
      <c r="H1" s="24" t="s">
        <v>144</v>
      </c>
      <c r="I1" s="89" t="s">
        <v>145</v>
      </c>
      <c r="J1" s="89"/>
      <c r="K1" s="26" t="s">
        <v>146</v>
      </c>
      <c r="L1" s="27" t="s">
        <v>147</v>
      </c>
      <c r="M1" s="25" t="s">
        <v>148</v>
      </c>
      <c r="N1" s="90" t="s">
        <v>149</v>
      </c>
      <c r="O1" s="91"/>
    </row>
    <row r="2" spans="1:23" x14ac:dyDescent="0.25">
      <c r="A2" s="92" t="s">
        <v>165</v>
      </c>
      <c r="B2" s="92"/>
      <c r="C2" s="92"/>
      <c r="D2" s="54">
        <f>G2*52</f>
        <v>120231.28</v>
      </c>
      <c r="E2" s="54"/>
      <c r="F2" s="30">
        <f>G2/40</f>
        <v>57.8035</v>
      </c>
      <c r="G2" s="31">
        <v>2312.14</v>
      </c>
      <c r="H2" s="32">
        <v>2.5000000000000001E-2</v>
      </c>
      <c r="I2" s="93">
        <f>D2*H2+D2</f>
        <v>123237.06200000001</v>
      </c>
      <c r="J2" s="93"/>
      <c r="K2" s="34">
        <f>I2/52/40</f>
        <v>59.248587500000006</v>
      </c>
      <c r="L2" s="35">
        <f>K2*40</f>
        <v>2369.9435000000003</v>
      </c>
      <c r="M2" s="51">
        <v>300</v>
      </c>
      <c r="N2" s="59">
        <f>I2+M2</f>
        <v>123537.06200000001</v>
      </c>
      <c r="O2" s="60"/>
      <c r="Q2" s="28" t="s">
        <v>158</v>
      </c>
      <c r="R2" s="49"/>
      <c r="W2" s="48"/>
    </row>
    <row r="3" spans="1:23" x14ac:dyDescent="0.25">
      <c r="A3" s="92" t="s">
        <v>166</v>
      </c>
      <c r="B3" s="92"/>
      <c r="C3" s="92"/>
      <c r="D3" s="54">
        <f t="shared" ref="D3:D10" si="0">G3*52</f>
        <v>102324.56</v>
      </c>
      <c r="E3" s="54"/>
      <c r="F3" s="30">
        <f>G3/40</f>
        <v>49.194499999999998</v>
      </c>
      <c r="G3" s="31">
        <v>1967.78</v>
      </c>
      <c r="H3" s="32">
        <v>2.5000000000000001E-2</v>
      </c>
      <c r="I3" s="93">
        <f t="shared" ref="I3:I11" si="1">D3*H3+D3</f>
        <v>104882.674</v>
      </c>
      <c r="J3" s="93"/>
      <c r="K3" s="34">
        <f t="shared" ref="K3:K11" si="2">I3/52/40</f>
        <v>50.424362500000001</v>
      </c>
      <c r="L3" s="35">
        <f t="shared" ref="L3:L11" si="3">K3*40</f>
        <v>2016.9745</v>
      </c>
      <c r="M3" s="30"/>
      <c r="N3" s="55">
        <f t="shared" ref="N3:N11" si="4">I3+M3</f>
        <v>104882.674</v>
      </c>
      <c r="O3" s="56"/>
      <c r="Q3" s="49"/>
      <c r="W3" s="48"/>
    </row>
    <row r="4" spans="1:23" x14ac:dyDescent="0.25">
      <c r="A4" s="92" t="s">
        <v>167</v>
      </c>
      <c r="B4" s="92"/>
      <c r="C4" s="92"/>
      <c r="D4" s="54">
        <f t="shared" si="0"/>
        <v>76606.399999999994</v>
      </c>
      <c r="E4" s="54"/>
      <c r="F4" s="36">
        <v>36.83</v>
      </c>
      <c r="G4" s="31">
        <f t="shared" ref="G4:G10" si="5">F4*40</f>
        <v>1473.1999999999998</v>
      </c>
      <c r="H4" s="32">
        <v>2.5000000000000001E-2</v>
      </c>
      <c r="I4" s="93">
        <f>D4*H4+D4</f>
        <v>78521.56</v>
      </c>
      <c r="J4" s="93"/>
      <c r="K4" s="34">
        <f>I4/52/40</f>
        <v>37.750749999999996</v>
      </c>
      <c r="L4" s="35">
        <f t="shared" si="3"/>
        <v>1510.0299999999997</v>
      </c>
      <c r="M4" s="50">
        <v>900</v>
      </c>
      <c r="N4" s="55">
        <f t="shared" si="4"/>
        <v>79421.56</v>
      </c>
      <c r="O4" s="56"/>
      <c r="P4" s="99"/>
      <c r="Q4" s="100"/>
      <c r="R4" s="100"/>
      <c r="W4" s="48"/>
    </row>
    <row r="5" spans="1:23" x14ac:dyDescent="0.25">
      <c r="A5" s="101" t="s">
        <v>168</v>
      </c>
      <c r="B5" s="101"/>
      <c r="C5" s="101"/>
      <c r="D5" s="65">
        <f>G5*52</f>
        <v>77833.600000000006</v>
      </c>
      <c r="E5" s="65"/>
      <c r="F5" s="37">
        <v>37.42</v>
      </c>
      <c r="G5" s="38">
        <f>F5*40</f>
        <v>1496.8000000000002</v>
      </c>
      <c r="H5" s="39">
        <v>2.5000000000000001E-2</v>
      </c>
      <c r="I5" s="102">
        <f>D5*H5+D5</f>
        <v>79779.44</v>
      </c>
      <c r="J5" s="102"/>
      <c r="K5" s="40">
        <f t="shared" si="2"/>
        <v>38.355499999999999</v>
      </c>
      <c r="L5" s="41">
        <f t="shared" si="3"/>
        <v>1534.22</v>
      </c>
      <c r="M5" s="38"/>
      <c r="N5" s="57">
        <f>I5+M5</f>
        <v>79779.44</v>
      </c>
      <c r="O5" s="58"/>
      <c r="P5" s="103" t="s">
        <v>159</v>
      </c>
      <c r="Q5" s="104"/>
      <c r="R5" s="105"/>
      <c r="S5" s="42" t="s">
        <v>150</v>
      </c>
      <c r="W5" s="48"/>
    </row>
    <row r="6" spans="1:23" x14ac:dyDescent="0.25">
      <c r="A6" s="106" t="s">
        <v>169</v>
      </c>
      <c r="B6" s="106"/>
      <c r="C6" s="106"/>
      <c r="D6" s="54">
        <f t="shared" si="0"/>
        <v>76606.399999999994</v>
      </c>
      <c r="E6" s="54"/>
      <c r="F6" s="36">
        <v>36.83</v>
      </c>
      <c r="G6" s="31">
        <f t="shared" si="5"/>
        <v>1473.1999999999998</v>
      </c>
      <c r="H6" s="43">
        <v>2.5000000000000001E-2</v>
      </c>
      <c r="I6" s="93">
        <f t="shared" si="1"/>
        <v>78521.56</v>
      </c>
      <c r="J6" s="93"/>
      <c r="K6" s="34">
        <f t="shared" si="2"/>
        <v>37.750749999999996</v>
      </c>
      <c r="L6" s="35">
        <f t="shared" si="3"/>
        <v>1510.0299999999997</v>
      </c>
      <c r="M6" s="50">
        <v>900</v>
      </c>
      <c r="N6" s="55">
        <f>I6+M6</f>
        <v>79421.56</v>
      </c>
      <c r="O6" s="56"/>
      <c r="P6" s="94"/>
      <c r="Q6" s="95"/>
      <c r="R6" s="96"/>
      <c r="S6" s="44"/>
      <c r="W6" s="48"/>
    </row>
    <row r="7" spans="1:23" x14ac:dyDescent="0.25">
      <c r="A7" s="92" t="s">
        <v>169</v>
      </c>
      <c r="B7" s="92"/>
      <c r="C7" s="92"/>
      <c r="D7" s="54">
        <f t="shared" si="0"/>
        <v>76606.399999999994</v>
      </c>
      <c r="E7" s="54"/>
      <c r="F7" s="36">
        <v>36.83</v>
      </c>
      <c r="G7" s="31">
        <f t="shared" si="5"/>
        <v>1473.1999999999998</v>
      </c>
      <c r="H7" s="32">
        <v>2.5000000000000001E-2</v>
      </c>
      <c r="I7" s="93">
        <f t="shared" si="1"/>
        <v>78521.56</v>
      </c>
      <c r="J7" s="93"/>
      <c r="K7" s="34">
        <f t="shared" si="2"/>
        <v>37.750749999999996</v>
      </c>
      <c r="L7" s="35">
        <f t="shared" si="3"/>
        <v>1510.0299999999997</v>
      </c>
      <c r="M7" s="50">
        <v>300</v>
      </c>
      <c r="N7" s="55">
        <f t="shared" si="4"/>
        <v>78821.56</v>
      </c>
      <c r="O7" s="56"/>
      <c r="W7" s="48"/>
    </row>
    <row r="8" spans="1:23" x14ac:dyDescent="0.25">
      <c r="A8" s="92" t="s">
        <v>170</v>
      </c>
      <c r="B8" s="92"/>
      <c r="C8" s="92"/>
      <c r="D8" s="54">
        <f t="shared" si="0"/>
        <v>74568</v>
      </c>
      <c r="E8" s="54"/>
      <c r="F8" s="36">
        <v>35.85</v>
      </c>
      <c r="G8" s="31">
        <f t="shared" si="5"/>
        <v>1434</v>
      </c>
      <c r="H8" s="32">
        <v>2.5000000000000001E-2</v>
      </c>
      <c r="I8" s="93">
        <f t="shared" si="1"/>
        <v>76432.2</v>
      </c>
      <c r="J8" s="93"/>
      <c r="K8" s="34">
        <f t="shared" si="2"/>
        <v>36.746249999999996</v>
      </c>
      <c r="L8" s="35">
        <f t="shared" si="3"/>
        <v>1469.85</v>
      </c>
      <c r="M8" s="31"/>
      <c r="N8" s="55">
        <f t="shared" si="4"/>
        <v>76432.2</v>
      </c>
      <c r="O8" s="56"/>
      <c r="W8" s="48"/>
    </row>
    <row r="9" spans="1:23" x14ac:dyDescent="0.25">
      <c r="A9" s="92" t="s">
        <v>171</v>
      </c>
      <c r="B9" s="92"/>
      <c r="C9" s="92"/>
      <c r="D9" s="54">
        <f t="shared" si="0"/>
        <v>72862.400000000009</v>
      </c>
      <c r="E9" s="54"/>
      <c r="F9" s="36">
        <v>35.03</v>
      </c>
      <c r="G9" s="31">
        <f t="shared" si="5"/>
        <v>1401.2</v>
      </c>
      <c r="H9" s="32">
        <v>2.5000000000000001E-2</v>
      </c>
      <c r="I9" s="93">
        <f t="shared" si="1"/>
        <v>74683.960000000006</v>
      </c>
      <c r="J9" s="93"/>
      <c r="K9" s="34">
        <f t="shared" si="2"/>
        <v>35.905749999999998</v>
      </c>
      <c r="L9" s="35">
        <f t="shared" si="3"/>
        <v>1436.23</v>
      </c>
      <c r="M9" s="31"/>
      <c r="N9" s="55">
        <f t="shared" si="4"/>
        <v>74683.960000000006</v>
      </c>
      <c r="O9" s="56"/>
      <c r="P9" s="107" t="s">
        <v>151</v>
      </c>
      <c r="Q9" s="108"/>
      <c r="R9" s="108"/>
      <c r="S9" s="108"/>
      <c r="T9" s="108"/>
      <c r="U9" s="108"/>
      <c r="W9" s="48"/>
    </row>
    <row r="10" spans="1:23" x14ac:dyDescent="0.25">
      <c r="A10" s="92" t="s">
        <v>172</v>
      </c>
      <c r="B10" s="92"/>
      <c r="C10" s="92"/>
      <c r="D10" s="54">
        <f t="shared" si="0"/>
        <v>70782.400000000009</v>
      </c>
      <c r="E10" s="54"/>
      <c r="F10" s="36">
        <v>34.03</v>
      </c>
      <c r="G10" s="31">
        <f t="shared" si="5"/>
        <v>1361.2</v>
      </c>
      <c r="H10" s="32">
        <v>2.5000000000000001E-2</v>
      </c>
      <c r="I10" s="93">
        <f t="shared" si="1"/>
        <v>72551.960000000006</v>
      </c>
      <c r="J10" s="93"/>
      <c r="K10" s="34">
        <f t="shared" si="2"/>
        <v>34.880749999999999</v>
      </c>
      <c r="L10" s="35">
        <f t="shared" si="3"/>
        <v>1395.23</v>
      </c>
      <c r="M10" s="31"/>
      <c r="N10" s="55">
        <f t="shared" si="4"/>
        <v>72551.960000000006</v>
      </c>
      <c r="O10" s="56"/>
      <c r="P10" s="109" t="s">
        <v>152</v>
      </c>
      <c r="Q10" s="110"/>
      <c r="R10" s="110"/>
      <c r="S10" s="110"/>
      <c r="T10" s="110"/>
      <c r="U10" s="110"/>
      <c r="V10" s="110"/>
      <c r="W10" s="48"/>
    </row>
    <row r="11" spans="1:23" x14ac:dyDescent="0.25">
      <c r="A11" s="92" t="s">
        <v>153</v>
      </c>
      <c r="B11" s="92"/>
      <c r="C11" s="92"/>
      <c r="D11" s="54">
        <f>G11*52</f>
        <v>1414.4</v>
      </c>
      <c r="E11" s="54"/>
      <c r="F11" s="36">
        <v>0.68</v>
      </c>
      <c r="G11" s="31">
        <f>F11*40</f>
        <v>27.200000000000003</v>
      </c>
      <c r="H11" s="32"/>
      <c r="I11" s="93">
        <f t="shared" si="1"/>
        <v>1414.4</v>
      </c>
      <c r="J11" s="93"/>
      <c r="K11" s="34">
        <f t="shared" si="2"/>
        <v>0.68</v>
      </c>
      <c r="L11" s="35">
        <f t="shared" si="3"/>
        <v>27.200000000000003</v>
      </c>
      <c r="M11" s="31"/>
      <c r="N11" s="55">
        <f t="shared" si="4"/>
        <v>1414.4</v>
      </c>
      <c r="O11" s="56"/>
      <c r="W11" s="48"/>
    </row>
    <row r="12" spans="1:23" x14ac:dyDescent="0.25">
      <c r="A12" s="29" t="s">
        <v>163</v>
      </c>
      <c r="B12" s="29"/>
      <c r="C12" s="29"/>
      <c r="D12" s="35">
        <f>G12*52</f>
        <v>48692.799999999996</v>
      </c>
      <c r="E12" s="35"/>
      <c r="F12" s="36">
        <v>23.41</v>
      </c>
      <c r="G12" s="31">
        <f>F12*40</f>
        <v>936.4</v>
      </c>
      <c r="H12" s="32"/>
      <c r="I12" s="33"/>
      <c r="J12" s="33"/>
      <c r="K12" s="61"/>
      <c r="L12" s="62"/>
      <c r="M12" s="63"/>
      <c r="N12" s="64">
        <f>D12</f>
        <v>48692.799999999996</v>
      </c>
      <c r="O12" s="64"/>
      <c r="W12" s="48"/>
    </row>
    <row r="13" spans="1:23" x14ac:dyDescent="0.25">
      <c r="A13" s="29" t="s">
        <v>161</v>
      </c>
      <c r="B13" s="29"/>
      <c r="C13" s="29"/>
      <c r="D13" s="35"/>
      <c r="E13" s="35"/>
      <c r="F13" s="36"/>
      <c r="G13" s="31"/>
      <c r="H13" s="32"/>
      <c r="I13" s="33"/>
      <c r="J13" s="33"/>
      <c r="K13" s="61"/>
      <c r="L13" s="62"/>
      <c r="M13" s="63"/>
      <c r="N13" s="64">
        <v>60000</v>
      </c>
      <c r="O13" s="64"/>
      <c r="W13" s="48"/>
    </row>
    <row r="14" spans="1:23" ht="15.75" x14ac:dyDescent="0.25">
      <c r="A14" s="111" t="s">
        <v>154</v>
      </c>
      <c r="B14" s="111"/>
      <c r="C14" s="111"/>
      <c r="D14" s="111"/>
      <c r="E14" s="111"/>
      <c r="F14" s="111"/>
      <c r="G14" s="111"/>
      <c r="H14" s="111"/>
      <c r="I14" s="111"/>
      <c r="J14" s="111"/>
      <c r="W14" s="48"/>
    </row>
    <row r="15" spans="1:23" ht="15.75" thickBot="1" x14ac:dyDescent="0.3">
      <c r="A15" s="92" t="s">
        <v>155</v>
      </c>
      <c r="B15" s="92"/>
      <c r="C15" s="92"/>
      <c r="D15" s="93"/>
      <c r="E15" s="93"/>
      <c r="F15" s="45">
        <v>34.049999999999997</v>
      </c>
      <c r="G15" s="46">
        <f>F15*40</f>
        <v>1362</v>
      </c>
      <c r="H15" s="47"/>
      <c r="N15" s="64">
        <f>G15*52</f>
        <v>70824</v>
      </c>
      <c r="O15" s="64"/>
      <c r="W15" s="48"/>
    </row>
    <row r="16" spans="1:23" ht="15.75" thickBot="1" x14ac:dyDescent="0.3">
      <c r="K16" s="28" t="s">
        <v>160</v>
      </c>
      <c r="N16" s="69">
        <f>SUM(N2:N15)</f>
        <v>950463.17599999986</v>
      </c>
      <c r="W16" s="48"/>
    </row>
    <row r="17" spans="12:23" x14ac:dyDescent="0.25">
      <c r="W17" s="48"/>
    </row>
    <row r="18" spans="12:23" x14ac:dyDescent="0.25">
      <c r="L18" s="97" t="s">
        <v>140</v>
      </c>
      <c r="M18" s="97"/>
      <c r="N18" s="97"/>
      <c r="O18" s="98" t="s">
        <v>156</v>
      </c>
      <c r="P18" s="98"/>
      <c r="W18" s="48"/>
    </row>
    <row r="19" spans="12:23" x14ac:dyDescent="0.25">
      <c r="L19" s="92" t="s">
        <v>165</v>
      </c>
      <c r="M19" s="92"/>
      <c r="N19" s="92"/>
      <c r="O19" s="67">
        <v>600</v>
      </c>
      <c r="P19" s="54"/>
      <c r="W19" s="48"/>
    </row>
    <row r="20" spans="12:23" x14ac:dyDescent="0.25">
      <c r="L20" s="92" t="s">
        <v>166</v>
      </c>
      <c r="M20" s="92"/>
      <c r="N20" s="92"/>
      <c r="O20" s="67">
        <v>600</v>
      </c>
      <c r="P20" s="54"/>
      <c r="W20" s="48"/>
    </row>
    <row r="21" spans="12:23" x14ac:dyDescent="0.25">
      <c r="L21" s="92" t="s">
        <v>167</v>
      </c>
      <c r="M21" s="92"/>
      <c r="N21" s="92"/>
      <c r="O21" s="67">
        <v>600</v>
      </c>
      <c r="P21" s="54"/>
      <c r="W21" s="48"/>
    </row>
    <row r="22" spans="12:23" x14ac:dyDescent="0.25">
      <c r="L22" s="92" t="s">
        <v>168</v>
      </c>
      <c r="M22" s="92"/>
      <c r="N22" s="92"/>
      <c r="O22" s="67">
        <v>600</v>
      </c>
      <c r="P22" s="54"/>
      <c r="W22" s="48"/>
    </row>
    <row r="23" spans="12:23" x14ac:dyDescent="0.25">
      <c r="L23" s="106" t="s">
        <v>169</v>
      </c>
      <c r="M23" s="106"/>
      <c r="N23" s="106"/>
      <c r="O23" s="67">
        <v>600</v>
      </c>
      <c r="P23" s="54"/>
      <c r="W23" s="48"/>
    </row>
    <row r="24" spans="12:23" x14ac:dyDescent="0.25">
      <c r="L24" s="29" t="s">
        <v>169</v>
      </c>
      <c r="M24" s="29"/>
      <c r="N24" s="29"/>
      <c r="O24" s="67">
        <v>600</v>
      </c>
      <c r="P24" s="35"/>
    </row>
    <row r="25" spans="12:23" x14ac:dyDescent="0.25">
      <c r="L25" s="29" t="s">
        <v>170</v>
      </c>
      <c r="M25" s="29"/>
      <c r="N25" s="29"/>
      <c r="O25" s="67">
        <v>600</v>
      </c>
      <c r="P25" s="35"/>
    </row>
    <row r="26" spans="12:23" x14ac:dyDescent="0.25">
      <c r="L26" s="29" t="s">
        <v>173</v>
      </c>
      <c r="M26" s="29"/>
      <c r="N26" s="29"/>
      <c r="O26" s="67">
        <v>600</v>
      </c>
      <c r="P26" s="35"/>
    </row>
    <row r="27" spans="12:23" x14ac:dyDescent="0.25">
      <c r="L27" s="29" t="s">
        <v>172</v>
      </c>
      <c r="M27" s="29"/>
      <c r="N27" s="29"/>
      <c r="O27" s="67">
        <v>600</v>
      </c>
      <c r="P27" s="35"/>
    </row>
    <row r="28" spans="12:23" x14ac:dyDescent="0.25">
      <c r="L28" s="29" t="s">
        <v>174</v>
      </c>
      <c r="M28" s="29"/>
      <c r="N28" s="29"/>
      <c r="O28" s="67">
        <v>600</v>
      </c>
      <c r="P28" s="35"/>
    </row>
    <row r="29" spans="12:23" ht="15.75" x14ac:dyDescent="0.25">
      <c r="L29" s="52" t="s">
        <v>157</v>
      </c>
      <c r="M29" s="52"/>
      <c r="N29" s="52"/>
      <c r="O29" s="68">
        <f>SUM(O19:O28)</f>
        <v>6000</v>
      </c>
      <c r="P29" s="53"/>
    </row>
  </sheetData>
  <mergeCells count="39">
    <mergeCell ref="L22:N22"/>
    <mergeCell ref="L23:N23"/>
    <mergeCell ref="L19:N19"/>
    <mergeCell ref="L20:N20"/>
    <mergeCell ref="L21:N21"/>
    <mergeCell ref="L18:N18"/>
    <mergeCell ref="O18:P18"/>
    <mergeCell ref="P9:U9"/>
    <mergeCell ref="A10:C10"/>
    <mergeCell ref="I10:J10"/>
    <mergeCell ref="P10:V10"/>
    <mergeCell ref="A11:C11"/>
    <mergeCell ref="I11:J11"/>
    <mergeCell ref="A14:J14"/>
    <mergeCell ref="A15:C15"/>
    <mergeCell ref="D15:E15"/>
    <mergeCell ref="A8:C8"/>
    <mergeCell ref="I8:J8"/>
    <mergeCell ref="A9:C9"/>
    <mergeCell ref="I9:J9"/>
    <mergeCell ref="A6:C6"/>
    <mergeCell ref="I6:J6"/>
    <mergeCell ref="A7:C7"/>
    <mergeCell ref="I7:J7"/>
    <mergeCell ref="I1:J1"/>
    <mergeCell ref="N1:O1"/>
    <mergeCell ref="A2:C2"/>
    <mergeCell ref="I2:J2"/>
    <mergeCell ref="P6:R6"/>
    <mergeCell ref="A3:C3"/>
    <mergeCell ref="I3:J3"/>
    <mergeCell ref="A1:C1"/>
    <mergeCell ref="D1:E1"/>
    <mergeCell ref="P4:R4"/>
    <mergeCell ref="A5:C5"/>
    <mergeCell ref="I5:J5"/>
    <mergeCell ref="P5:R5"/>
    <mergeCell ref="A4:C4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Wages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Hall</dc:creator>
  <cp:lastModifiedBy>Catherine Albarella</cp:lastModifiedBy>
  <cp:lastPrinted>2024-11-14T18:13:45Z</cp:lastPrinted>
  <dcterms:created xsi:type="dcterms:W3CDTF">2024-04-09T17:53:21Z</dcterms:created>
  <dcterms:modified xsi:type="dcterms:W3CDTF">2024-11-14T18:25:08Z</dcterms:modified>
</cp:coreProperties>
</file>